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ane Evelyn\Desktop\PREFEITURAS\DONA EUZEBIA\AMPLIAÇÃO ALMOXARIFADO FARMACIA\DOC PARA LICITAR\DOCUMENTOS LICITAÇÃO - final\"/>
    </mc:Choice>
  </mc:AlternateContent>
  <xr:revisionPtr revIDLastSave="0" documentId="13_ncr:1_{EB5B27CE-08FC-44DF-B54C-96EE284400C9}" xr6:coauthVersionLast="47" xr6:coauthVersionMax="47" xr10:uidLastSave="{00000000-0000-0000-0000-000000000000}"/>
  <bookViews>
    <workbookView xWindow="-108" yWindow="-108" windowWidth="23256" windowHeight="12576" tabRatio="758" xr2:uid="{00000000-000D-0000-FFFF-FFFF00000000}"/>
  </bookViews>
  <sheets>
    <sheet name="PLAN ORÇ" sheetId="6" r:id="rId1"/>
    <sheet name="MM CALC" sheetId="21" r:id="rId2"/>
    <sheet name="CRON" sheetId="7" r:id="rId3"/>
  </sheets>
  <externalReferences>
    <externalReference r:id="rId4"/>
  </externalReferences>
  <definedNames>
    <definedName name="_xlnm._FilterDatabase" localSheetId="2" hidden="1">CRON!$A$9:$H$31</definedName>
    <definedName name="_xlnm._FilterDatabase" localSheetId="1" hidden="1">'MM CALC'!$A$15:$H$15</definedName>
    <definedName name="_xlnm._FilterDatabase" localSheetId="0" hidden="1">'PLAN ORÇ'!$A$12:$L$93</definedName>
    <definedName name="_xlnm.Print_Area" localSheetId="2">CRON!$A$1:$F$42</definedName>
    <definedName name="_xlnm.Print_Area" localSheetId="1">'MM CALC'!$A$1:$H$106</definedName>
    <definedName name="_xlnm.Print_Area" localSheetId="0">'PLAN ORÇ'!$A$2:$I$98</definedName>
    <definedName name="_xlnm.Database">TEXT([1]Dados!$G$29,"mm-aaaa")</definedName>
    <definedName name="Fonte" localSheetId="1">'MM CALC'!#REF!</definedName>
    <definedName name="Fonte">'PLAN ORÇ'!$I1</definedName>
    <definedName name="nao" localSheetId="1">#REF!</definedName>
    <definedName name="nao">#REF!</definedName>
    <definedName name="_xlnm.Print_Titles" localSheetId="1">'MM CALC'!$9:$15</definedName>
    <definedName name="_xlnm.Print_Titles" localSheetId="0">'PLAN ORÇ'!$2:$12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3" i="21" l="1"/>
  <c r="A42" i="6"/>
  <c r="C42" i="6"/>
  <c r="D42" i="6"/>
  <c r="E42" i="6"/>
  <c r="F42" i="6"/>
  <c r="H42" i="6"/>
  <c r="F43" i="21"/>
  <c r="F40" i="6" s="1"/>
  <c r="F44" i="21"/>
  <c r="F41" i="6" s="1"/>
  <c r="A40" i="6"/>
  <c r="C40" i="6"/>
  <c r="D40" i="6"/>
  <c r="E40" i="6"/>
  <c r="H40" i="6"/>
  <c r="A41" i="6"/>
  <c r="C41" i="6"/>
  <c r="D41" i="6"/>
  <c r="E41" i="6"/>
  <c r="H41" i="6"/>
  <c r="A30" i="6"/>
  <c r="B30" i="6"/>
  <c r="C30" i="6"/>
  <c r="D30" i="6"/>
  <c r="E30" i="6"/>
  <c r="H30" i="6"/>
  <c r="F33" i="21"/>
  <c r="F30" i="6" s="1"/>
  <c r="F32" i="21"/>
  <c r="F87" i="21"/>
  <c r="I62" i="21"/>
  <c r="F61" i="21"/>
  <c r="F50" i="21"/>
  <c r="F52" i="21"/>
  <c r="F47" i="21"/>
  <c r="F44" i="6" s="1"/>
  <c r="A90" i="6"/>
  <c r="A51" i="6"/>
  <c r="B51" i="6"/>
  <c r="C51" i="6"/>
  <c r="D51" i="6"/>
  <c r="E51" i="6"/>
  <c r="F51" i="6"/>
  <c r="H51" i="6"/>
  <c r="F92" i="6"/>
  <c r="A44" i="6"/>
  <c r="B44" i="6"/>
  <c r="C44" i="6"/>
  <c r="D44" i="6"/>
  <c r="E44" i="6"/>
  <c r="H44" i="6"/>
  <c r="A45" i="6"/>
  <c r="B45" i="6"/>
  <c r="C45" i="6"/>
  <c r="D45" i="6"/>
  <c r="E45" i="6"/>
  <c r="F45" i="6"/>
  <c r="H45" i="6"/>
  <c r="F77" i="21"/>
  <c r="F78" i="21" s="1"/>
  <c r="F75" i="6" s="1"/>
  <c r="A79" i="6"/>
  <c r="B79" i="6"/>
  <c r="C79" i="6"/>
  <c r="D79" i="6"/>
  <c r="E79" i="6"/>
  <c r="H79" i="6"/>
  <c r="A76" i="6"/>
  <c r="B76" i="6"/>
  <c r="C76" i="6"/>
  <c r="D76" i="6"/>
  <c r="E76" i="6"/>
  <c r="H76" i="6"/>
  <c r="F82" i="21"/>
  <c r="F79" i="6" s="1"/>
  <c r="F81" i="21"/>
  <c r="F78" i="6" s="1"/>
  <c r="F80" i="21"/>
  <c r="F77" i="6" s="1"/>
  <c r="F79" i="21"/>
  <c r="F76" i="6" s="1"/>
  <c r="F28" i="7"/>
  <c r="F26" i="7"/>
  <c r="F22" i="7"/>
  <c r="F18" i="7"/>
  <c r="F16" i="7"/>
  <c r="F12" i="7"/>
  <c r="F10" i="7"/>
  <c r="F86" i="21"/>
  <c r="H78" i="6"/>
  <c r="H77" i="6"/>
  <c r="D77" i="6"/>
  <c r="D16" i="6"/>
  <c r="A77" i="6"/>
  <c r="B77" i="6"/>
  <c r="C77" i="6"/>
  <c r="E77" i="6"/>
  <c r="A78" i="6"/>
  <c r="B78" i="6"/>
  <c r="C78" i="6"/>
  <c r="D78" i="6"/>
  <c r="E78" i="6"/>
  <c r="H75" i="6"/>
  <c r="H74" i="6"/>
  <c r="A74" i="6"/>
  <c r="B74" i="6"/>
  <c r="C74" i="6"/>
  <c r="D74" i="6"/>
  <c r="E74" i="6"/>
  <c r="A75" i="6"/>
  <c r="B75" i="6"/>
  <c r="C75" i="6"/>
  <c r="D75" i="6"/>
  <c r="E75" i="6"/>
  <c r="H71" i="6"/>
  <c r="H72" i="6"/>
  <c r="H73" i="6"/>
  <c r="A73" i="6"/>
  <c r="B73" i="6"/>
  <c r="C73" i="6"/>
  <c r="D73" i="6"/>
  <c r="E73" i="6"/>
  <c r="F73" i="6"/>
  <c r="A71" i="6"/>
  <c r="B71" i="6"/>
  <c r="C71" i="6"/>
  <c r="D71" i="6"/>
  <c r="E71" i="6"/>
  <c r="F71" i="6"/>
  <c r="A72" i="6"/>
  <c r="B72" i="6"/>
  <c r="C72" i="6"/>
  <c r="D72" i="6"/>
  <c r="E72" i="6"/>
  <c r="F72" i="6"/>
  <c r="H66" i="6"/>
  <c r="A66" i="6"/>
  <c r="B66" i="6"/>
  <c r="C66" i="6"/>
  <c r="D66" i="6"/>
  <c r="E66" i="6"/>
  <c r="F69" i="21"/>
  <c r="F66" i="6" s="1"/>
  <c r="I42" i="6" l="1"/>
  <c r="I41" i="6"/>
  <c r="F74" i="6"/>
  <c r="H44" i="21"/>
  <c r="I40" i="6"/>
  <c r="I30" i="6"/>
  <c r="F62" i="21"/>
  <c r="I51" i="6"/>
  <c r="I45" i="6"/>
  <c r="I44" i="6"/>
  <c r="I79" i="6"/>
  <c r="I76" i="6"/>
  <c r="I77" i="6"/>
  <c r="I78" i="6"/>
  <c r="I74" i="6"/>
  <c r="I75" i="6"/>
  <c r="I66" i="6"/>
  <c r="I73" i="6"/>
  <c r="I72" i="6"/>
  <c r="I71" i="6"/>
  <c r="B28" i="7"/>
  <c r="A33" i="6"/>
  <c r="H59" i="6"/>
  <c r="A59" i="6"/>
  <c r="B59" i="6"/>
  <c r="C59" i="6"/>
  <c r="D59" i="6"/>
  <c r="E59" i="6"/>
  <c r="F59" i="6"/>
  <c r="I59" i="6" l="1"/>
  <c r="H58" i="6"/>
  <c r="A57" i="6"/>
  <c r="B57" i="6"/>
  <c r="C57" i="6"/>
  <c r="D57" i="6"/>
  <c r="E57" i="6"/>
  <c r="A58" i="6"/>
  <c r="B58" i="6"/>
  <c r="C58" i="6"/>
  <c r="D58" i="6"/>
  <c r="E58" i="6"/>
  <c r="A17" i="6"/>
  <c r="A18" i="6"/>
  <c r="A19" i="6"/>
  <c r="A20" i="6"/>
  <c r="A21" i="6"/>
  <c r="A22" i="6"/>
  <c r="A23" i="6"/>
  <c r="A24" i="6"/>
  <c r="A25" i="6"/>
  <c r="A26" i="6"/>
  <c r="A27" i="6"/>
  <c r="C70" i="6"/>
  <c r="D70" i="6"/>
  <c r="H57" i="6"/>
  <c r="H37" i="6"/>
  <c r="A36" i="6"/>
  <c r="D36" i="6"/>
  <c r="B18" i="7" s="1"/>
  <c r="A37" i="6"/>
  <c r="B37" i="6"/>
  <c r="C37" i="6"/>
  <c r="D37" i="6"/>
  <c r="E37" i="6"/>
  <c r="F37" i="6"/>
  <c r="A92" i="6"/>
  <c r="B90" i="6"/>
  <c r="B89" i="6"/>
  <c r="A86" i="6"/>
  <c r="A87" i="6"/>
  <c r="A88" i="6"/>
  <c r="A89" i="6"/>
  <c r="B65" i="6"/>
  <c r="A65" i="6"/>
  <c r="A67" i="6"/>
  <c r="A68" i="6"/>
  <c r="A69" i="6"/>
  <c r="A70" i="6"/>
  <c r="A64" i="6"/>
  <c r="B64" i="6"/>
  <c r="A54" i="6"/>
  <c r="A52" i="6"/>
  <c r="A50" i="6"/>
  <c r="I37" i="6" l="1"/>
  <c r="I36" i="6" s="1"/>
  <c r="C19" i="7" s="1"/>
  <c r="E19" i="7" s="1"/>
  <c r="F19" i="7" s="1"/>
  <c r="H54" i="6"/>
  <c r="B54" i="6"/>
  <c r="C54" i="6"/>
  <c r="D54" i="6"/>
  <c r="E54" i="6"/>
  <c r="F57" i="21"/>
  <c r="F54" i="6" s="1"/>
  <c r="H90" i="6"/>
  <c r="E90" i="6"/>
  <c r="C90" i="6"/>
  <c r="F90" i="6"/>
  <c r="D90" i="6"/>
  <c r="B50" i="6"/>
  <c r="C50" i="6"/>
  <c r="D50" i="6"/>
  <c r="E50" i="6"/>
  <c r="F50" i="6"/>
  <c r="H50" i="6"/>
  <c r="B52" i="6"/>
  <c r="C52" i="6"/>
  <c r="D52" i="6"/>
  <c r="E52" i="6"/>
  <c r="F52" i="6"/>
  <c r="H52" i="6"/>
  <c r="D89" i="6"/>
  <c r="E89" i="6"/>
  <c r="H89" i="6"/>
  <c r="F92" i="21"/>
  <c r="F89" i="6" s="1"/>
  <c r="F91" i="21"/>
  <c r="F88" i="6" s="1"/>
  <c r="A85" i="6"/>
  <c r="B85" i="6"/>
  <c r="C85" i="6"/>
  <c r="D85" i="6"/>
  <c r="E85" i="6"/>
  <c r="H85" i="6"/>
  <c r="B86" i="6"/>
  <c r="C86" i="6"/>
  <c r="D86" i="6"/>
  <c r="E86" i="6"/>
  <c r="H86" i="6"/>
  <c r="B87" i="6"/>
  <c r="C87" i="6"/>
  <c r="D87" i="6"/>
  <c r="E87" i="6"/>
  <c r="H87" i="6"/>
  <c r="B88" i="6"/>
  <c r="D88" i="6"/>
  <c r="E88" i="6"/>
  <c r="H88" i="6"/>
  <c r="F88" i="21"/>
  <c r="F85" i="6" s="1"/>
  <c r="F84" i="6"/>
  <c r="A84" i="6"/>
  <c r="C84" i="6"/>
  <c r="D84" i="6"/>
  <c r="E84" i="6"/>
  <c r="H84" i="6"/>
  <c r="F84" i="21"/>
  <c r="F85" i="21" s="1"/>
  <c r="F65" i="21"/>
  <c r="H64" i="6"/>
  <c r="H65" i="6"/>
  <c r="C64" i="6"/>
  <c r="D64" i="6"/>
  <c r="E64" i="6"/>
  <c r="F64" i="6"/>
  <c r="D65" i="6"/>
  <c r="E65" i="6"/>
  <c r="F65" i="6"/>
  <c r="C65" i="6"/>
  <c r="A32" i="6"/>
  <c r="H33" i="6"/>
  <c r="E33" i="6"/>
  <c r="C33" i="6"/>
  <c r="D33" i="6"/>
  <c r="F56" i="21"/>
  <c r="G64" i="21"/>
  <c r="G63" i="21"/>
  <c r="G60" i="21"/>
  <c r="F58" i="6"/>
  <c r="I58" i="6" s="1"/>
  <c r="F58" i="21"/>
  <c r="F60" i="21" s="1"/>
  <c r="F57" i="6" s="1"/>
  <c r="F51" i="21"/>
  <c r="F59" i="21" s="1"/>
  <c r="F64" i="21" s="1"/>
  <c r="F36" i="21"/>
  <c r="F33" i="6" s="1"/>
  <c r="F38" i="21"/>
  <c r="F34" i="21"/>
  <c r="F35" i="21" s="1"/>
  <c r="F28" i="21"/>
  <c r="F27" i="21"/>
  <c r="F24" i="21"/>
  <c r="F23" i="21"/>
  <c r="F26" i="21"/>
  <c r="F25" i="21"/>
  <c r="F22" i="21"/>
  <c r="F20" i="21"/>
  <c r="F19" i="21"/>
  <c r="I54" i="6" l="1"/>
  <c r="I52" i="6"/>
  <c r="I90" i="6"/>
  <c r="I50" i="6"/>
  <c r="I85" i="6"/>
  <c r="F89" i="21"/>
  <c r="I89" i="6"/>
  <c r="I88" i="6"/>
  <c r="I84" i="6"/>
  <c r="I65" i="6"/>
  <c r="I64" i="6"/>
  <c r="I33" i="6"/>
  <c r="F63" i="21"/>
  <c r="A7" i="6"/>
  <c r="A83" i="6"/>
  <c r="C83" i="6"/>
  <c r="D83" i="6"/>
  <c r="E83" i="6"/>
  <c r="F83" i="6"/>
  <c r="H83" i="6"/>
  <c r="A82" i="6"/>
  <c r="C82" i="6"/>
  <c r="D82" i="6"/>
  <c r="E82" i="6"/>
  <c r="F82" i="6"/>
  <c r="H82" i="6"/>
  <c r="A80" i="6"/>
  <c r="D80" i="6"/>
  <c r="B26" i="7" s="1"/>
  <c r="A81" i="6"/>
  <c r="C81" i="6"/>
  <c r="D81" i="6"/>
  <c r="E81" i="6"/>
  <c r="F81" i="6"/>
  <c r="H81" i="6"/>
  <c r="F86" i="6" l="1"/>
  <c r="I86" i="6" s="1"/>
  <c r="F90" i="21"/>
  <c r="F87" i="6" s="1"/>
  <c r="I87" i="6" s="1"/>
  <c r="I83" i="6"/>
  <c r="I82" i="6"/>
  <c r="I81" i="6"/>
  <c r="A43" i="6"/>
  <c r="A39" i="6"/>
  <c r="F24" i="6"/>
  <c r="B24" i="6"/>
  <c r="C24" i="6"/>
  <c r="D24" i="6"/>
  <c r="E24" i="6"/>
  <c r="H24" i="6"/>
  <c r="H39" i="6"/>
  <c r="E39" i="6"/>
  <c r="D39" i="6"/>
  <c r="C39" i="6"/>
  <c r="B39" i="6"/>
  <c r="H63" i="21"/>
  <c r="F67" i="6"/>
  <c r="F68" i="6"/>
  <c r="F69" i="6"/>
  <c r="I80" i="6" l="1"/>
  <c r="F39" i="6"/>
  <c r="I39" i="6" s="1"/>
  <c r="F21" i="21"/>
  <c r="H21" i="21" s="1"/>
  <c r="I24" i="6"/>
  <c r="C27" i="7" l="1"/>
  <c r="E27" i="7" s="1"/>
  <c r="F27" i="7" s="1"/>
  <c r="F70" i="6"/>
  <c r="F16" i="6"/>
  <c r="F17" i="6"/>
  <c r="F18" i="6"/>
  <c r="F19" i="6"/>
  <c r="F20" i="6"/>
  <c r="F21" i="6"/>
  <c r="F22" i="6"/>
  <c r="F23" i="6"/>
  <c r="F25" i="6"/>
  <c r="F26" i="6"/>
  <c r="F27" i="6"/>
  <c r="A62" i="6"/>
  <c r="B62" i="6"/>
  <c r="C62" i="6"/>
  <c r="D62" i="6"/>
  <c r="E62" i="6"/>
  <c r="H62" i="6"/>
  <c r="H32" i="6" l="1"/>
  <c r="H31" i="6"/>
  <c r="A31" i="6"/>
  <c r="B31" i="6"/>
  <c r="C31" i="6"/>
  <c r="D31" i="6"/>
  <c r="E31" i="6"/>
  <c r="B32" i="6"/>
  <c r="C32" i="6"/>
  <c r="D32" i="6"/>
  <c r="E32" i="6"/>
  <c r="F32" i="6"/>
  <c r="F62" i="6" l="1"/>
  <c r="I62" i="6" s="1"/>
  <c r="F31" i="6"/>
  <c r="I31" i="6" s="1"/>
  <c r="I32" i="6"/>
  <c r="C36" i="7" l="1"/>
  <c r="C37" i="7"/>
  <c r="C35" i="7"/>
  <c r="H70" i="6" l="1"/>
  <c r="B70" i="6"/>
  <c r="E70" i="6"/>
  <c r="I70" i="6" l="1"/>
  <c r="H69" i="6" l="1"/>
  <c r="H68" i="6"/>
  <c r="H67" i="6"/>
  <c r="H23" i="6" l="1"/>
  <c r="B23" i="6"/>
  <c r="C23" i="6"/>
  <c r="D23" i="6"/>
  <c r="E23" i="6"/>
  <c r="A63" i="6" l="1"/>
  <c r="D63" i="6"/>
  <c r="B24" i="7" s="1"/>
  <c r="B67" i="6"/>
  <c r="C67" i="6"/>
  <c r="E67" i="6"/>
  <c r="B68" i="6"/>
  <c r="C68" i="6"/>
  <c r="D68" i="6"/>
  <c r="E68" i="6"/>
  <c r="B69" i="6"/>
  <c r="C69" i="6"/>
  <c r="D69" i="6"/>
  <c r="E69" i="6"/>
  <c r="I69" i="6"/>
  <c r="I67" i="6"/>
  <c r="I68" i="6" l="1"/>
  <c r="I63" i="6" s="1"/>
  <c r="H14" i="6"/>
  <c r="H92" i="6"/>
  <c r="H61" i="6"/>
  <c r="H60" i="6"/>
  <c r="H56" i="6"/>
  <c r="H55" i="6"/>
  <c r="H49" i="6"/>
  <c r="H48" i="6"/>
  <c r="H47" i="6"/>
  <c r="H22" i="6"/>
  <c r="H16" i="6"/>
  <c r="H17" i="6"/>
  <c r="B92" i="6"/>
  <c r="C92" i="6"/>
  <c r="D92" i="6"/>
  <c r="E92" i="6"/>
  <c r="A15" i="6"/>
  <c r="A12" i="7" s="1"/>
  <c r="A16" i="6"/>
  <c r="B16" i="6"/>
  <c r="C16" i="6"/>
  <c r="E16" i="6"/>
  <c r="B17" i="6"/>
  <c r="C17" i="6"/>
  <c r="D17" i="6"/>
  <c r="E17" i="6"/>
  <c r="B18" i="6"/>
  <c r="C18" i="6"/>
  <c r="D18" i="6"/>
  <c r="E18" i="6"/>
  <c r="D15" i="6"/>
  <c r="B12" i="7" s="1"/>
  <c r="B19" i="6"/>
  <c r="C19" i="6"/>
  <c r="D19" i="6"/>
  <c r="E19" i="6"/>
  <c r="B20" i="6"/>
  <c r="C20" i="6"/>
  <c r="D20" i="6"/>
  <c r="E20" i="6"/>
  <c r="B21" i="6"/>
  <c r="C21" i="6"/>
  <c r="D21" i="6"/>
  <c r="E21" i="6"/>
  <c r="B22" i="6"/>
  <c r="C22" i="6"/>
  <c r="D22" i="6"/>
  <c r="E22" i="6"/>
  <c r="B25" i="6"/>
  <c r="C25" i="6"/>
  <c r="D25" i="6"/>
  <c r="E25" i="6"/>
  <c r="B26" i="6"/>
  <c r="C26" i="6"/>
  <c r="D26" i="6"/>
  <c r="E26" i="6"/>
  <c r="B27" i="6"/>
  <c r="C27" i="6"/>
  <c r="D27" i="6"/>
  <c r="E27" i="6"/>
  <c r="A28" i="6"/>
  <c r="D28" i="6"/>
  <c r="B14" i="7" s="1"/>
  <c r="A29" i="6"/>
  <c r="B29" i="6"/>
  <c r="C29" i="6"/>
  <c r="D29" i="6"/>
  <c r="E29" i="6"/>
  <c r="A34" i="6"/>
  <c r="D34" i="6"/>
  <c r="B16" i="7" s="1"/>
  <c r="A35" i="6"/>
  <c r="B35" i="6"/>
  <c r="C35" i="6"/>
  <c r="D35" i="6"/>
  <c r="E35" i="6"/>
  <c r="A38" i="6"/>
  <c r="D38" i="6"/>
  <c r="B20" i="7" s="1"/>
  <c r="B43" i="6"/>
  <c r="C43" i="6"/>
  <c r="D43" i="6"/>
  <c r="E43" i="6"/>
  <c r="A46" i="6"/>
  <c r="D46" i="6"/>
  <c r="B22" i="7" s="1"/>
  <c r="A47" i="6"/>
  <c r="B47" i="6"/>
  <c r="C47" i="6"/>
  <c r="D47" i="6"/>
  <c r="E47" i="6"/>
  <c r="A48" i="6"/>
  <c r="B48" i="6"/>
  <c r="C48" i="6"/>
  <c r="D48" i="6"/>
  <c r="E48" i="6"/>
  <c r="A49" i="6"/>
  <c r="B49" i="6"/>
  <c r="C49" i="6"/>
  <c r="D49" i="6"/>
  <c r="E49" i="6"/>
  <c r="A53" i="6"/>
  <c r="B53" i="6"/>
  <c r="C53" i="6"/>
  <c r="D53" i="6"/>
  <c r="E53" i="6"/>
  <c r="A55" i="6"/>
  <c r="B55" i="6"/>
  <c r="C55" i="6"/>
  <c r="D55" i="6"/>
  <c r="E55" i="6"/>
  <c r="A56" i="6"/>
  <c r="B56" i="6"/>
  <c r="C56" i="6"/>
  <c r="D56" i="6"/>
  <c r="E56" i="6"/>
  <c r="A60" i="6"/>
  <c r="B60" i="6"/>
  <c r="C60" i="6"/>
  <c r="D60" i="6"/>
  <c r="E60" i="6"/>
  <c r="A61" i="6"/>
  <c r="B61" i="6"/>
  <c r="C61" i="6"/>
  <c r="D61" i="6"/>
  <c r="E61" i="6"/>
  <c r="C25" i="7" l="1"/>
  <c r="I92" i="6"/>
  <c r="I91" i="6" s="1"/>
  <c r="D25" i="7" l="1"/>
  <c r="E25" i="7" s="1"/>
  <c r="C29" i="7"/>
  <c r="E29" i="7" s="1"/>
  <c r="F29" i="7" s="1"/>
  <c r="F53" i="6"/>
  <c r="F47" i="6"/>
  <c r="I47" i="6" s="1"/>
  <c r="F49" i="6"/>
  <c r="I49" i="6" s="1"/>
  <c r="E24" i="7" l="1"/>
  <c r="F24" i="7" s="1"/>
  <c r="F25" i="7"/>
  <c r="F43" i="6"/>
  <c r="F35" i="6"/>
  <c r="F55" i="6" l="1"/>
  <c r="H58" i="21"/>
  <c r="H60" i="21" s="1"/>
  <c r="H51" i="21"/>
  <c r="F60" i="6"/>
  <c r="I60" i="6" s="1"/>
  <c r="I55" i="6" l="1"/>
  <c r="I57" i="6"/>
  <c r="H64" i="21"/>
  <c r="F56" i="6"/>
  <c r="I56" i="6" s="1"/>
  <c r="H59" i="21"/>
  <c r="F48" i="6"/>
  <c r="I48" i="6" s="1"/>
  <c r="F61" i="6"/>
  <c r="I61" i="6" s="1"/>
  <c r="F29" i="6" l="1"/>
  <c r="I16" i="6" l="1"/>
  <c r="I17" i="6" l="1"/>
  <c r="I23" i="6" l="1"/>
  <c r="H53" i="6" l="1"/>
  <c r="I53" i="6" s="1"/>
  <c r="H21" i="6"/>
  <c r="H20" i="6"/>
  <c r="I20" i="6" s="1"/>
  <c r="I46" i="6" l="1"/>
  <c r="I21" i="6"/>
  <c r="I22" i="6"/>
  <c r="H43" i="6"/>
  <c r="I43" i="6" s="1"/>
  <c r="I38" i="6" s="1"/>
  <c r="C21" i="7" l="1"/>
  <c r="C23" i="7"/>
  <c r="E23" i="7" s="1"/>
  <c r="F23" i="7" s="1"/>
  <c r="D21" i="7" l="1"/>
  <c r="H35" i="6"/>
  <c r="I35" i="6" s="1"/>
  <c r="F21" i="7" l="1"/>
  <c r="I34" i="6"/>
  <c r="D20" i="7"/>
  <c r="F20" i="7" s="1"/>
  <c r="H29" i="6"/>
  <c r="I29" i="6" s="1"/>
  <c r="H27" i="6"/>
  <c r="I27" i="6" s="1"/>
  <c r="H26" i="6"/>
  <c r="I26" i="6" s="1"/>
  <c r="H25" i="6"/>
  <c r="I25" i="6" s="1"/>
  <c r="H19" i="6"/>
  <c r="I19" i="6" s="1"/>
  <c r="H18" i="6"/>
  <c r="I18" i="6" s="1"/>
  <c r="I15" i="6" l="1"/>
  <c r="C13" i="7" s="1"/>
  <c r="I28" i="6"/>
  <c r="C15" i="7" s="1"/>
  <c r="D15" i="7" s="1"/>
  <c r="C17" i="7"/>
  <c r="E17" i="7" s="1"/>
  <c r="E31" i="7" l="1"/>
  <c r="F17" i="7"/>
  <c r="D14" i="7"/>
  <c r="F14" i="7" s="1"/>
  <c r="F15" i="7"/>
  <c r="D13" i="7"/>
  <c r="F13" i="7" s="1"/>
  <c r="B14" i="6"/>
  <c r="F14" i="6" l="1"/>
  <c r="I14" i="6" l="1"/>
  <c r="I13" i="6" s="1"/>
  <c r="I93" i="6" s="1"/>
  <c r="A14" i="6"/>
  <c r="E14" i="6"/>
  <c r="D14" i="6"/>
  <c r="C14" i="6"/>
  <c r="C11" i="7" l="1"/>
  <c r="D11" i="7" l="1"/>
  <c r="C31" i="7"/>
  <c r="F5" i="7" s="1"/>
  <c r="A13" i="6"/>
  <c r="A10" i="7" s="1"/>
  <c r="D13" i="6"/>
  <c r="B10" i="7" s="1"/>
  <c r="F11" i="7" l="1"/>
  <c r="D31" i="7"/>
  <c r="F31" i="7" s="1"/>
  <c r="C24" i="7"/>
  <c r="C26" i="7"/>
  <c r="C10" i="7"/>
  <c r="C12" i="7"/>
  <c r="E30" i="7"/>
  <c r="C28" i="7"/>
  <c r="C22" i="7"/>
  <c r="C20" i="7"/>
  <c r="C14" i="7"/>
  <c r="C18" i="7"/>
  <c r="D30" i="7" l="1"/>
  <c r="F30" i="7" s="1"/>
  <c r="C16" i="7"/>
  <c r="C30" i="7" s="1"/>
  <c r="A6" i="7" l="1"/>
  <c r="E6" i="6" l="1"/>
  <c r="A8" i="6" l="1"/>
  <c r="A6" i="6"/>
  <c r="A7" i="7"/>
  <c r="A5" i="7" l="1"/>
</calcChain>
</file>

<file path=xl/sharedStrings.xml><?xml version="1.0" encoding="utf-8"?>
<sst xmlns="http://schemas.openxmlformats.org/spreadsheetml/2006/main" count="527" uniqueCount="353">
  <si>
    <t>ITEM</t>
  </si>
  <si>
    <t>DESCRIÇÃO</t>
  </si>
  <si>
    <t>CÓDIGO</t>
  </si>
  <si>
    <t>DIRETA</t>
  </si>
  <si>
    <t>INDIRETA</t>
  </si>
  <si>
    <t>(    )</t>
  </si>
  <si>
    <t>QUANT.</t>
  </si>
  <si>
    <t>TOTAL</t>
  </si>
  <si>
    <t>FONTE</t>
  </si>
  <si>
    <t>VALOR TOTAL:</t>
  </si>
  <si>
    <t>(  X  )</t>
  </si>
  <si>
    <t xml:space="preserve">FORMA DE
EXECUÇÃO: </t>
  </si>
  <si>
    <t>UNITÁRIO
 S/ BDI</t>
  </si>
  <si>
    <t>UNITÁRIO
C/ BDI</t>
  </si>
  <si>
    <t>FÓRMULA/MEMÓRIA</t>
  </si>
  <si>
    <t>MÊS 01</t>
  </si>
  <si>
    <t>MÊS 02</t>
  </si>
  <si>
    <t xml:space="preserve">BDI = </t>
  </si>
  <si>
    <t>FÍSICO/
FINANCEIRO</t>
  </si>
  <si>
    <t>PLANILHA ORÇAMENTÁRIA DE CUSTOS</t>
  </si>
  <si>
    <t>MEMÓRIA DE CÁLCULO DE QUANTITATIVOS</t>
  </si>
  <si>
    <t>CRONOGRAMA FÍSICO-FINANCEIRO</t>
  </si>
  <si>
    <t>1.1</t>
  </si>
  <si>
    <t>2.1</t>
  </si>
  <si>
    <t>UNIDADE</t>
  </si>
  <si>
    <t>SEINFRA</t>
  </si>
  <si>
    <t>UNIDADE.</t>
  </si>
  <si>
    <t>APILOAMENTO DO FUNDO DE VALAS COM SOQUETE</t>
  </si>
  <si>
    <t>REATERRO MANUAL DE VALA</t>
  </si>
  <si>
    <t>CORTE, DOBRA E MONTAGEM DE AÇO CA-50/60</t>
  </si>
  <si>
    <t>2.2</t>
  </si>
  <si>
    <t>2.3</t>
  </si>
  <si>
    <t>3.1</t>
  </si>
  <si>
    <t>3.2</t>
  </si>
  <si>
    <t>3.3</t>
  </si>
  <si>
    <t>ISS
5,00%</t>
  </si>
  <si>
    <t>REVESTIMENTO COM ARGAMASSA EM CAMADA ÚNICA, APLICADO EM PAREDE, TRAÇO 1:3 (CIMENTO E AREIA), ESP. 20MM, APLICAÇÃO MANUAL, PREPARO MECÂNICO</t>
  </si>
  <si>
    <t>PINTURA ACRÍLICA EM TETO, DUAS (2) DEMÃOS, EXCLUSIVE SELADOR ACRÍLICO E MASSA ACRÍLICA/CORRIDA (PVA)</t>
  </si>
  <si>
    <t>CHAPISCO COM ARGAMASSA, TRAÇO 1:3 (CIMENTO E AREIA), ESP. 5MM, APLICADO EM ALVENARIA/ESTRUTURA DE CONCRETO COM COLHER, PREPARO MECÂNICO</t>
  </si>
  <si>
    <t>6.1</t>
  </si>
  <si>
    <t>7.1</t>
  </si>
  <si>
    <t>7.2</t>
  </si>
  <si>
    <t>LIMPEZA FINAL PARA ENTREGA DA OBRA</t>
  </si>
  <si>
    <t>PREPARAÇÃO PARA EMASSAMENTO OU PINTURA (LÁTEX/ACRÍLICA) EM PAREDE, INCLUSIVE UMA (1) DEMÃO DE SELADOR ACRÍLICO</t>
  </si>
  <si>
    <t>Suane Evelyn dos Reis Soares</t>
  </si>
  <si>
    <t>Engenheira Civil - CREA MG nº 200.214/D</t>
  </si>
  <si>
    <t>INSTALAÇÕES INICIAIS DA OBRA</t>
  </si>
  <si>
    <t>FORMA E DESFORMA DE TÁBUA E SARRAFO, REAPROVEITAMENTO (3X) (FUNDAÇÃO)</t>
  </si>
  <si>
    <t>FORNECIMENTO DE CONCRETO ESTRUTURAL, PREPARADO EM OBRA COM BETONEIRA, COM FCK 25 MPA, INCLUSIVE LANÇAMENTO, ADENSAMENTO E ACABAMENTO (FUNDAÇÃO)</t>
  </si>
  <si>
    <t>FORNECIMENTO DE CONCRETO ESTRUTURAL, PREPARADO EM OBRA, COM FCK 25 MPA, INCLUSIVE LANÇAMENTO, ADENSAMENTO E ACABAMENTO</t>
  </si>
  <si>
    <t>LAJE 10 CM MACIÇA DE CONCRETO 20 MPA, COM ARMAÇÃO, FORMA RESINADA, ESCORAMENTO E DESFORMA</t>
  </si>
  <si>
    <t>SERRALHERIA</t>
  </si>
  <si>
    <t>PISOS</t>
  </si>
  <si>
    <t>REVESTIMENTOS</t>
  </si>
  <si>
    <t>PEITORIL DE GRANITO CINZA ANDORINHA E = 2 CM</t>
  </si>
  <si>
    <t>PINTURA ACRÍLICA EM PAREDE, DUAS (2) DEMÃOS, EXCLUSIVE SELADOR ACRÍLICO E MASSA ACRÍLICA/CORRIDA (PVA)</t>
  </si>
  <si>
    <t>PINTURA COM EMULSÃO ASFÁLTICA, DUAS (2) DEMÃOS</t>
  </si>
  <si>
    <t>ED-49812</t>
  </si>
  <si>
    <t>LASTRO DE CONCRETO MAGRO, INCLUSIVE TRANSPORTE, LANÇAMENTO E ADENSAMENTO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</si>
  <si>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</si>
  <si>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m</t>
  </si>
  <si>
    <t>kg</t>
  </si>
  <si>
    <t>conforme padrão exigido</t>
  </si>
  <si>
    <t>un</t>
  </si>
  <si>
    <t>ESTRUTURAS DE CONCRETO ARMADO</t>
  </si>
  <si>
    <t>ALVENARIAS</t>
  </si>
  <si>
    <t>4.1</t>
  </si>
  <si>
    <t>m³</t>
  </si>
  <si>
    <t>m²</t>
  </si>
  <si>
    <t>mesmo quantitativo de chapisco aplicado em alvenaria/estrutura de concreto - item 8.2</t>
  </si>
  <si>
    <t>8.2</t>
  </si>
  <si>
    <t>3.4</t>
  </si>
  <si>
    <t xml:space="preserve">CONTRAPISO DESEMPENADO COM ARGAMASSA, TRAÇO 1:3 (CIMENTO E AREIA), ESP. 20MM </t>
  </si>
  <si>
    <t>REVESTIMENTO COM PORCELANATO APLICADO EM PISO, ACABAMENTO ESMALTADO ACETINADO, AMBIENTE INTERNO/EXTERNO, PADRÃO EXTRA, BORDA RETIFICADA, DIMENSÃO DA PEÇA (45X45CM), ASSENTAMENTO COM ARGAMASSA INDUSTRIALIZADA, INCLUSIVE REJUNTAMENTO</t>
  </si>
  <si>
    <t>ED-50152</t>
  </si>
  <si>
    <t>ED-51107</t>
  </si>
  <si>
    <t>ED-51093</t>
  </si>
  <si>
    <t>ED-51120</t>
  </si>
  <si>
    <t>ED-49810</t>
  </si>
  <si>
    <t>ED-48298</t>
  </si>
  <si>
    <t>ED-49787</t>
  </si>
  <si>
    <t>ED-49619</t>
  </si>
  <si>
    <t>ED-50848</t>
  </si>
  <si>
    <t>ED-50566</t>
  </si>
  <si>
    <t>ED-50727</t>
  </si>
  <si>
    <t>ED-50762</t>
  </si>
  <si>
    <t>ED-50753</t>
  </si>
  <si>
    <t>ED-50997</t>
  </si>
  <si>
    <t>ED-50514</t>
  </si>
  <si>
    <t>ED-50452</t>
  </si>
  <si>
    <t>ED-50451</t>
  </si>
  <si>
    <t>ED-50174</t>
  </si>
  <si>
    <t>ED-50266</t>
  </si>
  <si>
    <t>SINAPI</t>
  </si>
  <si>
    <t>INSTALAÇÕES ELÉTRICAS</t>
  </si>
  <si>
    <t>ED-50228</t>
  </si>
  <si>
    <t>ED-50227</t>
  </si>
  <si>
    <t>ED-50232</t>
  </si>
  <si>
    <t>área total construída conforme projeto arquitetônico</t>
  </si>
  <si>
    <t xml:space="preserve">volume total de escavação das fundações dezuzido o somatório dos volumes de lastro de concreto + concreto das sapatas + concreto dos arranques dos pilares + concreto das vigas baldrame conforme projeto estrutural e memórias de cálculo auxiliares </t>
  </si>
  <si>
    <t>conforme projeto de prevenção e combate a incêndio e pânico - desenho/formato 01/01</t>
  </si>
  <si>
    <t>______________________________________</t>
  </si>
  <si>
    <t>PONTO DE EMBUTIR PARA UMA (1) LUMINÁRIA, COM ELETRODUTO DE PVC RÍGIDO ROSCÁVEL, DN 20MM (3/4"), EMBUTIDO NA LAJE E CABO DE COBRE FLEXÍVEL, CLASSE 5, ISOLAMENTO TIPO LSHF/ATOX, NÃO HALOGENADO, SEÇÃO 1,5MM2 (70°C-450/750V), COM DISTÂNCIA DE ATÉ CINCO (5) METROS DO PONTO DE DERIVAÇÃO, EXCLUSIVE LUMINÁRIA, INCLUSIVE CAIXA DE LIGAÇÃO OCTOGONAL, SUPORTE E FIXAÇÃO DO ELETRODUTO</t>
  </si>
  <si>
    <t>VERGA MOLDADA IN LOCO EM CONCRETO PARA JANELAS COM ATÉ 1,5 M DE VÃO. AF_03/2016</t>
  </si>
  <si>
    <t>CONTRAVERGA MOLDADA IN LOCO EM CONCRETO PARA VÃOS DE ATÉ 1,5 M DE COMPRIMENTO. AF_03/2016</t>
  </si>
  <si>
    <t>largura da janela acrescendo 0,15m de cada lado x quantidades</t>
  </si>
  <si>
    <t>conforme item 4.2</t>
  </si>
  <si>
    <t>ED-50496</t>
  </si>
  <si>
    <t>PINTURA ESMALTE EM TUBO GALVANIZADO, DUAS (2) DEMÃOS, INCLUSIVE UMA (1) DEMÃO DE FUNDO ANTICORROSIVO</t>
  </si>
  <si>
    <t>ED-51123</t>
  </si>
  <si>
    <t>REGULARIZAÇÃO E COMPACTAÇÃO DE TERRENO COM PLACA VIBRATÓRIA</t>
  </si>
  <si>
    <t>Total de aço da estrutura conforme projeto estrutural</t>
  </si>
  <si>
    <t>Somatório de concreto das sapatas + vigas baldrames + arranque dos pilares conforme projeto estrutural</t>
  </si>
  <si>
    <t>comprimento X largura X quantidade de sapatas conforme projeto estrutural +
fundo das valas das vigas baldrame conforme projeto estutural</t>
  </si>
  <si>
    <t xml:space="preserve">comprimento X largura X altura do lastro X quantidade de sapatas conforme projeto estrutural +
volume de lastro sob vigas baldrame conforme projeto estrutural </t>
  </si>
  <si>
    <t>FORMA E DESFORMA DE TÁBUA E SARRAFO, REAPROVEITAMENTO (3X), EXCLUSIVE ESCORAMENTO</t>
  </si>
  <si>
    <t>ED-49643</t>
  </si>
  <si>
    <t xml:space="preserve">Somatório das áres de forma das vigas baldrames + aranques de pilares conforme projeto estutural </t>
  </si>
  <si>
    <t xml:space="preserve">somatório das áreas das faces laterais e faces superiores das vigas baldrame conforme projeto estutural </t>
  </si>
  <si>
    <t>OBRA: CONSTRUÇÃO DA AMPLIAÇÃO DO ALMOXARIFADO DA FARMACIA DE MINAS</t>
  </si>
  <si>
    <t>Sapatas: (0,55*0,70*1,25*7)                                                      Vigas Baldrames: (23,80*0,30*0,35)</t>
  </si>
  <si>
    <t xml:space="preserve">comprimento X largura X altura acrescida de 0,05m para lastro X quantidade de sapatas conforme projeto estrutural +
comprimento X largura acrescida 0,08m cada lado X altura acrescida de 0,05m para lastro das vigas baldrame conforme projeto estutural </t>
  </si>
  <si>
    <t>Sapatas: (0,55*0,70*0,05*7)                                          Vigas Baldrames: (23,80*0,30*0,05)</t>
  </si>
  <si>
    <t>Sapatas: (0,55*0,70*7)                                                                  Vigas Baldrames: (23,80*0,30)</t>
  </si>
  <si>
    <t>Sapatas: 0,67m³                                                                           Viga Baldrame: 1,13m³                                      Arranques: 0,35m³</t>
  </si>
  <si>
    <t>Vigas bladrames: (23,80*0,30*2)+(23,80*0,14)</t>
  </si>
  <si>
    <t>Vigas Baldrames: 19,95                                     Arranques: 7,39</t>
  </si>
  <si>
    <t xml:space="preserve">Sapatas: 34 kg                                                                    Vigas Baldrames:74,20kg                                      Pilares (inclusive arranque): 175,50kg                         Vigas Pav. Térreo: 8,4 kg                                                                             Vigas sobre platibanda : 66,5 kg </t>
  </si>
  <si>
    <t xml:space="preserve">Pilares:27,72m²                                                      Vigas Pav. Térreo: 19,95m²                                                                               Vigas sobre platibanda: 12,70m²                                                       </t>
  </si>
  <si>
    <t>Pilares: 1,33m³                                                              Vigas Pav. Térreo: 1,13m³                                                                           Vigas sobre platibanda:0,66m³</t>
  </si>
  <si>
    <t xml:space="preserve">área de forma dos fundos das vigas do pavimento térreo conforme projeto estutural </t>
  </si>
  <si>
    <t xml:space="preserve">pilares (exclusive aranques) + Vigas pav. térreo + vigas platibanda conforme projeto estutural </t>
  </si>
  <si>
    <t xml:space="preserve">pilares (exclusive aranques) + Vigas pav. térreo + vigas platibandaconforme projeto estutural </t>
  </si>
  <si>
    <t xml:space="preserve">Vigas Pav. Térreo: 3,34m²                                                       </t>
  </si>
  <si>
    <t xml:space="preserve">toda a área de laje do pavimento térreo  conforme projeto estrutural </t>
  </si>
  <si>
    <t>ED-48232</t>
  </si>
  <si>
    <t>alvenarias do pavimento térreo +  alvenaria das platibandas conforme projetos arquitetônico</t>
  </si>
  <si>
    <t>Pavimento térreo: (1,00+0,30)*2</t>
  </si>
  <si>
    <t>ED-50964</t>
  </si>
  <si>
    <t xml:space="preserve">Pavimento térreo: (1,00*0,40*2)                       </t>
  </si>
  <si>
    <t xml:space="preserve">largura X altura X quantidade das janelas </t>
  </si>
  <si>
    <t>FORNECIMENTO E ASSENTAMENTO DE JANELA DE ALUMÍNIO, LINHA SUPREMA ACABAMENTO ANODIZADO, TIPO MAXIM-AR COM CONTRAMARCO, INCLUSIVE FORNECIMENTO DE VIDRO LISO DE 4MM, FERRAGENS E ACESSÓRIOS</t>
  </si>
  <si>
    <t>área do piso de concreto do pavimento térreo conforme projeto arquitetonico</t>
  </si>
  <si>
    <t xml:space="preserve">área do piso no pavimento térreo conforme projeto arquiettônico </t>
  </si>
  <si>
    <t>ED-48436</t>
  </si>
  <si>
    <t>DEMOLIÇÃO DE ALVENARIA DE TIJOLO CERÂMICO SEM APROVEITAMENTO DO MATERIAL, INCLUSIVE AFASTAMENTO</t>
  </si>
  <si>
    <t>demolição da parede do almoxarifado</t>
  </si>
  <si>
    <t>2,20*3,30*0,15</t>
  </si>
  <si>
    <t>paredes do pavimento térreo + paredes das platibandas  conforme projetos arquitetônico</t>
  </si>
  <si>
    <t>conforme área do contrapiso</t>
  </si>
  <si>
    <t xml:space="preserve">FORRO DE GESSO EM PLACAS ACARTONADAS - FGA </t>
  </si>
  <si>
    <t>ED-49687</t>
  </si>
  <si>
    <t>área do teto da ampliação do almoxarifado conforme projeto</t>
  </si>
  <si>
    <t>CONSTRUÇÃO/MONTAGEM E DESMONTAGEM DE ANDAIME PARA REVESTIMENTO INTERNO DE FORROS</t>
  </si>
  <si>
    <t>ED-48247</t>
  </si>
  <si>
    <t>conforme área do forro de gesso</t>
  </si>
  <si>
    <t>conforme área de chapisco em alvenaria</t>
  </si>
  <si>
    <t>PREPARAÇÃO PARA EMASSAMENTO OU PINTURA (LÁTEX/ACRÍLICA) EM PAREDE DE GESSO ACARTONADO (DRY-WALL) E FORRO DE GESSO, INCLUSIVE UMA (1) DEMÃO DE SELADOR ACRÍLICO</t>
  </si>
  <si>
    <t>ED-50516</t>
  </si>
  <si>
    <t>conforme área de forro de gesso</t>
  </si>
  <si>
    <t xml:space="preserve">EMASSAMENTO EM FORRO DE GESSO COM MASSA ACRÍLICA, UMA (1) DEMÃO, INCLUSIVE LIXAMENTO PARA PINTURA </t>
  </si>
  <si>
    <t>ED-50485</t>
  </si>
  <si>
    <t>COBERTURA</t>
  </si>
  <si>
    <t>ED-48408</t>
  </si>
  <si>
    <t>ENGRADAMENTO PARA TELHADO DE FIBROCIMENTO ONDULADA</t>
  </si>
  <si>
    <t>ED-48424</t>
  </si>
  <si>
    <t>COBERTURA EM TELHA DE FIBROCIMENTO ONDULADA E = 6 MM</t>
  </si>
  <si>
    <t>ED-50679</t>
  </si>
  <si>
    <t>RUFO E CONTRA-RUFO EM CHAPA GALVANIZADA, ESP. 0,65MM (GSG-24), COM DESENVOLVIMENTO DE 50CM, INCLUSIVE IÇAMENTO MANUAL VERTICAL</t>
  </si>
  <si>
    <t>rufo em torno da platibanda</t>
  </si>
  <si>
    <t>Pavimento Térreo: (1,00*0,26*2)</t>
  </si>
  <si>
    <t>ESCORAMENTO METÁLICO PARA LAJE E VIGA EM CONCRETO ARMADO, TIPO "B", ALTURA DE (311 ATÉ 450)CM, INCLUSIVE DESCARGA, MONTAGEM, DESMONTAGEM E CARGA</t>
  </si>
  <si>
    <t>ED-19634</t>
  </si>
  <si>
    <t>m²Xmês</t>
  </si>
  <si>
    <t>ALVENARIA DE VEDAÇÃO COM TIJOLO CERÂMICO FURADO, ESP. 14CM, PARA REVESTIMENTO, INCLUSIVE ARGAMASSA PARA ASSENTAMENTO</t>
  </si>
  <si>
    <t>ponto de tomada para luminaria de emergencia + ae condicionado + 1 ponto</t>
  </si>
  <si>
    <t>1 interruptor</t>
  </si>
  <si>
    <t>pontos de luminaria</t>
  </si>
  <si>
    <t>PONTO DE EMBUTIR PARA UMA (1) LUMINÁRIA,COM ELETRODUTO DE PVC RÍGIDO ROSCÁVEL, DN 20MM (3/4"), EMBUTIDO NA LAJE E CABO DE COBRE FLEXÍVEL, CLASSE 5, ISOLAMENTO TIPO LSHF/ATOX, NÃO HALOGENADO, SEÇÃO 1,5MM2 (70°C-450/750V), COM DISTÂNCIA DE ATÉ CINCO (5) METROS DO PONTO DE DERIVAÇÃO, EXCLUSIVE LUMINÁRIA, INCLUSIVE CAIXA DE LIGAÇÃO OCTOGONAL, SUPORTE E FIXAÇÃO DO ELETRODUTO</t>
  </si>
  <si>
    <t>REATOR ELETRÔNICO, ALTO FATOR DE POTÊNCIA (A.F.P), PARTIDA RÁPIDA, PARA DUAS (2) LÂMPADAS TUBULARES, POTÊNCIA 40W, FORNECIMENTO E INSTALAÇÃO</t>
  </si>
  <si>
    <t>ED-49520</t>
  </si>
  <si>
    <t xml:space="preserve">p/ 2 pontos de luz </t>
  </si>
  <si>
    <t>cada luminaria recebe 2 lâmpadas</t>
  </si>
  <si>
    <t>LÂMPADA TUBULAR LED, BASE G13, POTÊNCIA 40W, DIÂMETRO 26MM/T8, TEMPERATURA DA COR 6500K, FORNECIMENTO E INSTALAÇÃO, EXCLUSIVE LUMINÁRIA</t>
  </si>
  <si>
    <t>ED-9974</t>
  </si>
  <si>
    <t>ED-50948</t>
  </si>
  <si>
    <t>ESCADA MARINHEIRO COM GRADIL PROTETOR - D = 3/4"</t>
  </si>
  <si>
    <t>conforme projeto</t>
  </si>
  <si>
    <t>conforme projeto escada marinheiro</t>
  </si>
  <si>
    <t>3,99+3,99+(11*0,50)</t>
  </si>
  <si>
    <t>área do telhado x fator de inclinação: (16,29+3,44)*1,008</t>
  </si>
  <si>
    <t xml:space="preserve">área do telhado conforme projeto x fator de inclinação: </t>
  </si>
  <si>
    <t>21.12.01</t>
  </si>
  <si>
    <t>CHAPEU DE MURO PADRAO SUCECAP</t>
  </si>
  <si>
    <t>SUDECAP</t>
  </si>
  <si>
    <t>sobre platibandas</t>
  </si>
  <si>
    <t>ED-48231</t>
  </si>
  <si>
    <t>(6,15+2,15)*0,40</t>
  </si>
  <si>
    <t>alvenaria para construção da calha</t>
  </si>
  <si>
    <t>área de alvenaria x 2 lados</t>
  </si>
  <si>
    <t>3,32*2</t>
  </si>
  <si>
    <t>ED-50168</t>
  </si>
  <si>
    <t>(6,15*0,70)+(6,15*0,25*2)</t>
  </si>
  <si>
    <t>comprimento da calha x largura da calha x espessura do concreto + comprimento da calha  x altura da calha x espessura do concreto</t>
  </si>
  <si>
    <t>(6,15*0,70*0,03)+(6,15*0,22*0,03*2)</t>
  </si>
  <si>
    <t>comprimento da calha x largura da calha + comprimento da calha  x altura do concreto da calha</t>
  </si>
  <si>
    <t>ED-51002</t>
  </si>
  <si>
    <t>SOLEIRA DE GRANITO CINZA ANDORINHA E = 2 CM</t>
  </si>
  <si>
    <t>área da soleira entre edificação existente e ampliação</t>
  </si>
  <si>
    <t>2,20*0,15</t>
  </si>
  <si>
    <t>5.1</t>
  </si>
  <si>
    <t>7.3</t>
  </si>
  <si>
    <t>8.1</t>
  </si>
  <si>
    <t>9.1</t>
  </si>
  <si>
    <t>9.2</t>
  </si>
  <si>
    <t>10.1</t>
  </si>
  <si>
    <t>JANELAS</t>
  </si>
  <si>
    <t>8.3</t>
  </si>
  <si>
    <r>
      <t xml:space="preserve">ALVENARIA DE VEDAÇÃO COM TIJOLO CERÂMICO FURADO, ESP. 9CM, PARA REVESTIMENTO, INCLUSIVE ARGAMASSA PARA ASSENTAMENTO - </t>
    </r>
    <r>
      <rPr>
        <b/>
        <sz val="10"/>
        <color theme="1"/>
        <rFont val="Arial"/>
        <family val="2"/>
      </rPr>
      <t>PARA CALHA</t>
    </r>
  </si>
  <si>
    <r>
      <t xml:space="preserve">CHAPISCO COM ARGAMASSA, TRAÇO 1:3 (CIMENTO E AREIA), ESP. 5MM, APLICADO EM ALVENARIA/ESTRUTURA DE CONCRETO COM COLHER, PREPARO MECÂNICO - </t>
    </r>
    <r>
      <rPr>
        <b/>
        <sz val="10"/>
        <color theme="1"/>
        <rFont val="Arial"/>
        <family val="2"/>
      </rPr>
      <t>PARA CALHA</t>
    </r>
  </si>
  <si>
    <r>
      <t xml:space="preserve">REVESTIMENTO COM ARGAMASSA EM CAMADA ÚNICA, APLICADO EM PAREDE, TRAÇO 1:3 (CIMENTO E AREIA), ESP. 20MM, APLICAÇÃO MANUAL, PREPARO MECÂNICO- </t>
    </r>
    <r>
      <rPr>
        <b/>
        <sz val="10"/>
        <color theme="1"/>
        <rFont val="Arial"/>
        <family val="2"/>
      </rPr>
      <t>PARA CALHA</t>
    </r>
  </si>
  <si>
    <r>
      <t xml:space="preserve">IMPERMEABILIZAÇÃO COM MANTA ASFÁLTICA PRÉ-FABRICADA, E = 4 MM - </t>
    </r>
    <r>
      <rPr>
        <b/>
        <sz val="10"/>
        <color theme="1"/>
        <rFont val="Arial"/>
        <family val="2"/>
      </rPr>
      <t>PARA CALHA</t>
    </r>
  </si>
  <si>
    <r>
      <t xml:space="preserve">FORNECIMENTO DE CONCRETO ESTRUTURAL, PREPARADO EM OBRA, COM FCK 25 MPA, INCLUSIVE LANÇAMENTO, ADENSAMENTO E ACABAMENTO </t>
    </r>
    <r>
      <rPr>
        <b/>
        <sz val="10"/>
        <color theme="1"/>
        <rFont val="Arial"/>
        <family val="2"/>
      </rPr>
      <t>- PARA CALHA</t>
    </r>
  </si>
  <si>
    <t>ESCAVAÇÃO MANUAL DE VALA COM PROFUNDIDADE MENOR OU IGUAL A 1,5M</t>
  </si>
  <si>
    <t>PONTO DE EMBUTIR PARA UM (1) INTERRUPTOR SIMPLES (10A-250V), COM PLACA 4"X2" DE UM (1) POSTO, COM ELETRODUTO FLEXÍVEL CORRUGADO, ANTI-CHAMA, DN 25MM (3/4"), EMBUTIDO NA ALVENARIA E CABO DE COBRE FLEXÍVEL, CLASSE 5, ISOLAMENTO TIPO LSHF/ATOX, NÃO HALOGENADO, SEÇÃO 1,5MM2 ( 70°C-450/750V), COM DISTÂNCIA DE ATÉ DEZ (10) METROS DO PONTO DE DERIVAÇÃO, INCLUSIVE CAIXA DE LIGAÇÃO, SUPORTE E FIXAÇÃO DO ELETRODUTO COM ENCHIMENTO DO RASGO NA ALVENARIA/ CONCRETO COM ARGAMASSA</t>
  </si>
  <si>
    <t>PONTO DE EMBUTIR PARA UMA (1) TOMADA PADRÃO, TRÊS (3) POLOS (2P+T/10A-250V), COM PLACA 4"X2" DE UM ( 1) POSTO, COM ELETRODUTO FLEXÍVEL CORRUGADO, ANTI-CHAMA, DN 25MM (3/4"), EMBUTIDO NA ALVENARIA E CABO DE COBRE FLEXÍVEL, CLASSE 5, ISOLAMENTO TIPO LSHF/ATOX, NÃO HALOGENADO, SEÇÃO 2,5MM2 (70°C-450/750V), COM DISTÂNCIA DE ATÉ DEZ (10) METROS DO PONTO DE DERIVAÇÃO, INCLUSIVE CAIXA DE LIGAÇÃO, SUPORTE E FIXAÇÃO DO ELETRODUTO COM ENCHIMENTO DO RASGO NA ALVENARIA/CONCRETO COM ARGAMASSA</t>
  </si>
  <si>
    <t>ED-26989</t>
  </si>
  <si>
    <t>LUMINÁRIA DE EMERGÊNCIA AUTÔNOMA, TIPO LED POTÊNCIA TOTAL DE 2W, FORNECIMENTO E INSTALAÇÃO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</si>
  <si>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</si>
  <si>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</si>
  <si>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</si>
  <si>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</si>
  <si>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</si>
  <si>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</si>
  <si>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</si>
  <si>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</si>
  <si>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</si>
  <si>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6.2</t>
  </si>
  <si>
    <t>6.3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</si>
  <si>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</si>
  <si>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</si>
  <si>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</si>
  <si>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</si>
  <si>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</si>
  <si>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</si>
  <si>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</si>
  <si>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</si>
  <si>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</si>
  <si>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</si>
  <si>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</si>
  <si>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8.4</t>
  </si>
  <si>
    <t>8.5</t>
  </si>
  <si>
    <t>8.6</t>
  </si>
  <si>
    <t>8.7</t>
  </si>
  <si>
    <t>9.3</t>
  </si>
  <si>
    <t>9.4</t>
  </si>
  <si>
    <t>9.5</t>
  </si>
  <si>
    <t>9.6</t>
  </si>
  <si>
    <t>9.7</t>
  </si>
  <si>
    <t>9.8</t>
  </si>
  <si>
    <t>9.9</t>
  </si>
  <si>
    <t>9.10</t>
  </si>
  <si>
    <t>ED-50473</t>
  </si>
  <si>
    <t>EMASSAMENTO EM PAREDE COM MASSA ACRÍLICA, UMA (1) DEMÃO, INCLUSIVE LIXAMENTO PARA PINTURA</t>
  </si>
  <si>
    <t>EMASSAMENTO EM PAREDE COM MASSA CORRIDA (PVA), UMA (1) DEMÃO, INCLUSIVE LIXAMENTO PARA PINTURA</t>
  </si>
  <si>
    <t>ED-50477</t>
  </si>
  <si>
    <t>área das paredes internas</t>
  </si>
  <si>
    <t>Área do chapisco - área das paredes internas - área das paredes das platibandas internas</t>
  </si>
  <si>
    <t>7.15</t>
  </si>
  <si>
    <t>ED-50721</t>
  </si>
  <si>
    <t>CANTONEIRA DE ALUMÍNIO PARA ACABAMENTO DE QUINAS</t>
  </si>
  <si>
    <t>(0,30+0,30+2,00+2,00)*2</t>
  </si>
  <si>
    <t>8.8</t>
  </si>
  <si>
    <t>8.9</t>
  </si>
  <si>
    <t>8.10</t>
  </si>
  <si>
    <t>instalação dos disjuntores da ampliação</t>
  </si>
  <si>
    <t>p/ ar condicionado</t>
  </si>
  <si>
    <t>ED-49232</t>
  </si>
  <si>
    <t>DISJUNTOR MONOPOLAR TERMOMAGNÉTICO 5KA, DE 25A</t>
  </si>
  <si>
    <t>p/ tomadas</t>
  </si>
  <si>
    <t>ED-4155</t>
  </si>
  <si>
    <t>DUTO CORRUGADO EM PEAD (POLIETILENO DE ALTA DENSIDADE) , PARA PROTEÇÃO DE CABOS SUBTERRÂNEOS DN 30 MM (1.1/4")</t>
  </si>
  <si>
    <t>8.11</t>
  </si>
  <si>
    <t>8.12</t>
  </si>
  <si>
    <t>ED-48998</t>
  </si>
  <si>
    <t>ED-49270</t>
  </si>
  <si>
    <t>DISJUNTOR BIPOLAR TERMOMAGNÉTICO 5KA, DE 16A</t>
  </si>
  <si>
    <t>CABO DE COBRE FLEXÍVEL, CLASSE 5, ISOLAMENTO TIPO EPR/ HEPR, NÃO HALOGENADO, ANTICHAMA, TERMOFIXO, UNIPOLAR, SEÇÃO 10 MM2, 90°C, 0,6/1KV</t>
  </si>
  <si>
    <t xml:space="preserve">p/ ligar padrão ao quadro de distribuição: comprimento + altura na parede + profundidade no solo </t>
  </si>
  <si>
    <t>cabo de ligação para entrada de energia no quadro de distribuição: conforme item duto corrugado x 3</t>
  </si>
  <si>
    <t>volume total de escavação dezuzido o volume do duto corrugado</t>
  </si>
  <si>
    <t>8.13</t>
  </si>
  <si>
    <t>8.14</t>
  </si>
  <si>
    <r>
      <rPr>
        <b/>
        <sz val="18"/>
        <rFont val="Arial"/>
        <family val="2"/>
      </rPr>
      <t xml:space="preserve">                                                                                                                            Prefeitura Municipal de Dona Euzébia 
Paço Municipal Francisco de Assis Ribeiro CEP: 36784000 -                         Estado de Minas Gerais</t>
    </r>
    <r>
      <rPr>
        <b/>
        <sz val="20"/>
        <rFont val="Arial"/>
        <family val="2"/>
      </rPr>
      <t xml:space="preserve">
</t>
    </r>
  </si>
  <si>
    <t>PREFEITURA MUNICIPAL DE DONA EUZÉBIA</t>
  </si>
  <si>
    <t>LOCAL: RUA NILO LACERDA WERNECK, Nº 01 - BELA VISTA - DONA EUZÉBIA/MG</t>
  </si>
  <si>
    <t>DATA: 20/09/2022</t>
  </si>
  <si>
    <r>
      <rPr>
        <b/>
        <sz val="20"/>
        <rFont val="Arial"/>
        <family val="2"/>
      </rPr>
      <t>Prefeitura Municipal de Dona Euzébia 
Paço Municipal Francisco de Assis Ribeiro CEP: 36784000 - Estado de Minas Gerais</t>
    </r>
    <r>
      <rPr>
        <sz val="10"/>
        <rFont val="Arial"/>
        <family val="2"/>
      </rPr>
      <t xml:space="preserve">
</t>
    </r>
  </si>
  <si>
    <t xml:space="preserve">Pavimento Térreo: 27,35m²                                            </t>
  </si>
  <si>
    <t xml:space="preserve">Prefeitura Municipal de Dona Euzébia 
Paço Municipal Francisco de Assis Ribeiro CEP: 36784000 -                                                Estado de Minas Gerais
</t>
  </si>
  <si>
    <t>área de peitoril dos pavimentos térreo conforme projeto arquitetônico</t>
  </si>
  <si>
    <t>2,55+6,15+2,55+2,15+1,35+1,35</t>
  </si>
  <si>
    <t>ED-48440</t>
  </si>
  <si>
    <t>DEMOLIÇÃO DE CONCRETO SIMPLES-MANUAL, INCLUSIVE AFASTAMENTO</t>
  </si>
  <si>
    <t>demolição de parte do passeio existente p/ entrrar os cabos de entrada de energia</t>
  </si>
  <si>
    <t>escavação para enterrar  os cabos de entrada de energia ao quadro de distribuição</t>
  </si>
  <si>
    <t>QUADRO DE DISTRIBUIÇÃO DE ENERGIA EM PVC, DE EMBUTIR, SEM BARRAMENTO,PARA 3 DISJUNTORES - FORNECIMENTO E INSTALAÇÃO. AF_10/2020</t>
  </si>
  <si>
    <t>8.15</t>
  </si>
  <si>
    <t>8.16</t>
  </si>
  <si>
    <t>ED-51145</t>
  </si>
  <si>
    <t>PASSEIOS DE CONCRETO E = 6 CM, FCK = 10 MPA, JUNTA SECA</t>
  </si>
  <si>
    <t>5,60*0,20*0,06</t>
  </si>
  <si>
    <t>14*0,70*0,2</t>
  </si>
  <si>
    <t>(14*0,70*0,2)-(3,14*0,015²*14)</t>
  </si>
  <si>
    <t>refazer passeio demolido em concreto</t>
  </si>
  <si>
    <t>5,60*0,20</t>
  </si>
  <si>
    <t>(6,15+2+0,70+0,70)</t>
  </si>
  <si>
    <t>9,55*3</t>
  </si>
  <si>
    <t>6.4</t>
  </si>
  <si>
    <t>6.5</t>
  </si>
  <si>
    <t>passeio de concreto lateral direita da ampliação</t>
  </si>
  <si>
    <t>REGIÃO/MÊS DE REFERÊNCIA: REGIÃO LESTE 06/2022 COM DESONERAÇÃO -  SINAPI MG 08/2022 DESONERADO - SUDECAP DES 06/2022</t>
  </si>
  <si>
    <t>EXECUÇÃO DE PASSEIO (CALÇADA) OU PISO DE CONCRETO COM CONCRETO MOLDADO IN LOCO, FEITO EM OBRA, ACABAMENTO CONVENCIONAL, ESPESSURA 8 CM, ARMADO. AF_08/2022</t>
  </si>
  <si>
    <t>7.16</t>
  </si>
  <si>
    <t>COTAÇÃO</t>
  </si>
  <si>
    <t>PERFIL TABICA 40X48MM - FORNECIMENTO E INSTALAÇÃO</t>
  </si>
  <si>
    <t>perímetro em torno do forro de gesso</t>
  </si>
  <si>
    <t>(1*2,55*0,06)+(1*1*0,06)</t>
  </si>
  <si>
    <t>demolição de passeio existente atras do almoxarifado + passeio existente na lateral</t>
  </si>
  <si>
    <t>5*1</t>
  </si>
  <si>
    <t>p/ fixação da placa acrilica</t>
  </si>
  <si>
    <t>Pavimento Térreo: paredes internas x altura + paredes externas x altura - vãos: ((6,15+3,25+3,95+1,75+5,00)*3,5)+(((6,55+3,65+4,00+1,35+5,00)*3,6)-((1*0,4*2)*2)                             Platibandas : paredes internas + paredes externas x altura: ((6,15+3,25+3,95+1,75+5,00+2,15+6,55+3,65+4,00+1,35+5,10)*0,9</t>
  </si>
  <si>
    <t xml:space="preserve">Paredes internas x altura - vãos: ((6,15+3,25+3,95+1,75+5,00)*3,5)-((1*0,4*2))                             </t>
  </si>
  <si>
    <t>181,25-69,55-((6,15+3,25+3,95+1,75+5,00+2,15)*0,9)</t>
  </si>
  <si>
    <t>3,65+6,55+5,00+2,55+1,35+4,20</t>
  </si>
  <si>
    <t>3.5</t>
  </si>
  <si>
    <t>ED-14397</t>
  </si>
  <si>
    <t>FORNECIMENTO DE ANDAIME EM CAVALETE METÁLICO PARA ALVENARIA, COM REAPROVEITAMENTO, INCLUSIVE MONTAGEM/DESMONTAGEM</t>
  </si>
  <si>
    <t>Pavimento Térreo: ((6,55+3,25+4,15+1,35+4,80)*3,3)-(1*0,4*2)                             Platibandas (6,55+3,25+4,15+1,35+4,80+2,15)*0,90</t>
  </si>
  <si>
    <t xml:space="preserve">Pavimento Térreo: ((6,55+3,25+4,15+1,35+4,80)*2)                            </t>
  </si>
  <si>
    <t>perímetro de alvenaria do pavimento térreo x 2m de altura</t>
  </si>
  <si>
    <t>ED-50600</t>
  </si>
  <si>
    <t>APLICAÇÃO DE LONA PRETA, ESP. 150 MICRAS, INCLUSIVE FORNECIMENTO</t>
  </si>
  <si>
    <t>6.6</t>
  </si>
  <si>
    <t>6.7</t>
  </si>
  <si>
    <t>ED-49813</t>
  </si>
  <si>
    <t>LASTRO DE BRITA 2 OU 3 APILOADO MANUALMENTE</t>
  </si>
  <si>
    <t>área do piso no pavimento térreo x 0,05m de espessura</t>
  </si>
  <si>
    <t>23,38*0,05</t>
  </si>
  <si>
    <t>ED-48668</t>
  </si>
  <si>
    <t>FORNECIMENTO E ASSENTAMENTO DE TUBO PVC RÍGIDO, DRENAGEM/PLUVIAL, PBV - SÉRIE NORMAL, DN 75 MM (3"), INCLUSIVE CONEXÕES</t>
  </si>
  <si>
    <t>(altura do pé direito + 0,50m percorrer na laje + 0,70m aterrado de profundidade + 1,00 m de comprimento ate a cx existente) x 2 tubos</t>
  </si>
  <si>
    <t>(3,60+0,50+0,70+1,00)*2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</si>
</sst>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#,##0.0000"/>
    <numFmt numFmtId="167" formatCode="_-* #,##0.00_-;[Red]\-* #,##0.00_-;_-* &quot;-&quot;??_-;_-@_-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6.5"/>
      <name val="Arial"/>
      <family val="2"/>
    </font>
    <font>
      <b/>
      <sz val="20"/>
      <name val="Arial"/>
      <family val="2"/>
    </font>
    <font>
      <b/>
      <sz val="10"/>
      <color theme="1"/>
      <name val="Arial"/>
      <family val="2"/>
    </font>
    <font>
      <b/>
      <sz val="8"/>
      <color rgb="FFFF0000"/>
      <name val="Arial"/>
      <family val="2"/>
    </font>
    <font>
      <b/>
      <sz val="1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</fills>
  <borders count="5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4" borderId="0" applyNumberFormat="0" applyBorder="0" applyAlignment="0" applyProtection="0"/>
    <xf numFmtId="0" fontId="7" fillId="16" borderId="1" applyNumberFormat="0" applyAlignment="0" applyProtection="0"/>
    <xf numFmtId="0" fontId="8" fillId="17" borderId="2" applyNumberFormat="0" applyAlignment="0" applyProtection="0"/>
    <xf numFmtId="0" fontId="9" fillId="0" borderId="3" applyNumberFormat="0" applyFill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1" borderId="0" applyNumberFormat="0" applyBorder="0" applyAlignment="0" applyProtection="0"/>
    <xf numFmtId="0" fontId="10" fillId="7" borderId="1" applyNumberFormat="0" applyAlignment="0" applyProtection="0"/>
    <xf numFmtId="0" fontId="11" fillId="3" borderId="0" applyNumberFormat="0" applyBorder="0" applyAlignment="0" applyProtection="0"/>
    <xf numFmtId="0" fontId="12" fillId="22" borderId="0" applyNumberFormat="0" applyBorder="0" applyAlignment="0" applyProtection="0"/>
    <xf numFmtId="0" fontId="3" fillId="23" borderId="4" applyNumberFormat="0" applyFont="0" applyAlignment="0" applyProtection="0"/>
    <xf numFmtId="9" fontId="3" fillId="0" borderId="0" applyFont="0" applyFill="0" applyBorder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43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" fillId="0" borderId="0"/>
  </cellStyleXfs>
  <cellXfs count="296">
    <xf numFmtId="0" fontId="0" fillId="0" borderId="0" xfId="0"/>
    <xf numFmtId="0" fontId="21" fillId="0" borderId="13" xfId="0" applyFont="1" applyBorder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21" fillId="0" borderId="10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49" fontId="21" fillId="0" borderId="12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4" fontId="3" fillId="0" borderId="18" xfId="0" applyNumberFormat="1" applyFont="1" applyBorder="1" applyAlignment="1">
      <alignment horizontal="center" vertical="center"/>
    </xf>
    <xf numFmtId="0" fontId="21" fillId="0" borderId="12" xfId="0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21" fillId="0" borderId="13" xfId="0" applyFont="1" applyBorder="1" applyAlignment="1">
      <alignment horizontal="right" vertical="center"/>
    </xf>
    <xf numFmtId="0" fontId="22" fillId="0" borderId="1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0" fontId="21" fillId="0" borderId="1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21" fillId="0" borderId="1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/>
    </xf>
    <xf numFmtId="0" fontId="25" fillId="0" borderId="12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vertical="center"/>
    </xf>
    <xf numFmtId="4" fontId="26" fillId="0" borderId="13" xfId="0" applyNumberFormat="1" applyFont="1" applyBorder="1" applyAlignment="1">
      <alignment horizontal="right" vertical="center"/>
    </xf>
    <xf numFmtId="0" fontId="25" fillId="0" borderId="18" xfId="0" applyFont="1" applyBorder="1" applyAlignment="1">
      <alignment horizontal="center" vertical="center"/>
    </xf>
    <xf numFmtId="10" fontId="26" fillId="0" borderId="18" xfId="33" applyNumberFormat="1" applyFont="1" applyFill="1" applyBorder="1" applyAlignment="1">
      <alignment horizontal="center" vertical="center"/>
    </xf>
    <xf numFmtId="2" fontId="25" fillId="0" borderId="13" xfId="0" applyNumberFormat="1" applyFont="1" applyBorder="1" applyAlignment="1">
      <alignment horizontal="center" vertical="center"/>
    </xf>
    <xf numFmtId="2" fontId="26" fillId="0" borderId="13" xfId="0" applyNumberFormat="1" applyFont="1" applyBorder="1" applyAlignment="1">
      <alignment horizontal="center" vertical="center"/>
    </xf>
    <xf numFmtId="2" fontId="21" fillId="0" borderId="13" xfId="0" applyNumberFormat="1" applyFont="1" applyBorder="1" applyAlignment="1">
      <alignment horizontal="center" vertical="center"/>
    </xf>
    <xf numFmtId="2" fontId="22" fillId="0" borderId="10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2" fontId="27" fillId="0" borderId="20" xfId="0" applyNumberFormat="1" applyFont="1" applyBorder="1" applyAlignment="1">
      <alignment horizontal="center" vertical="center"/>
    </xf>
    <xf numFmtId="165" fontId="23" fillId="0" borderId="0" xfId="0" applyNumberFormat="1" applyFont="1" applyAlignment="1">
      <alignment vertical="center"/>
    </xf>
    <xf numFmtId="166" fontId="3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2" fontId="21" fillId="0" borderId="10" xfId="0" applyNumberFormat="1" applyFont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4" fontId="26" fillId="0" borderId="13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18" xfId="0" applyFont="1" applyBorder="1" applyAlignment="1">
      <alignment vertical="center" wrapText="1"/>
    </xf>
    <xf numFmtId="0" fontId="21" fillId="0" borderId="18" xfId="0" applyFont="1" applyBorder="1" applyAlignment="1">
      <alignment vertical="center" wrapText="1"/>
    </xf>
    <xf numFmtId="0" fontId="21" fillId="0" borderId="13" xfId="0" applyFont="1" applyBorder="1" applyAlignment="1">
      <alignment vertical="center" wrapText="1"/>
    </xf>
    <xf numFmtId="0" fontId="21" fillId="0" borderId="0" xfId="0" applyFont="1"/>
    <xf numFmtId="2" fontId="21" fillId="0" borderId="10" xfId="0" applyNumberFormat="1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4" fontId="25" fillId="0" borderId="0" xfId="0" applyNumberFormat="1" applyFont="1" applyAlignment="1">
      <alignment horizontal="center" vertical="center"/>
    </xf>
    <xf numFmtId="4" fontId="21" fillId="0" borderId="13" xfId="0" applyNumberFormat="1" applyFont="1" applyBorder="1" applyAlignment="1">
      <alignment horizontal="center" vertical="center"/>
    </xf>
    <xf numFmtId="4" fontId="21" fillId="0" borderId="13" xfId="0" applyNumberFormat="1" applyFont="1" applyBorder="1" applyAlignment="1">
      <alignment vertical="center"/>
    </xf>
    <xf numFmtId="4" fontId="31" fillId="0" borderId="0" xfId="0" applyNumberFormat="1" applyFont="1" applyAlignment="1">
      <alignment horizontal="center" vertical="center"/>
    </xf>
    <xf numFmtId="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0" borderId="21" xfId="0" applyFont="1" applyBorder="1" applyAlignment="1">
      <alignment horizontal="center" vertical="center"/>
    </xf>
    <xf numFmtId="165" fontId="30" fillId="0" borderId="0" xfId="0" applyNumberFormat="1" applyFont="1" applyAlignment="1">
      <alignment vertical="center"/>
    </xf>
    <xf numFmtId="0" fontId="30" fillId="0" borderId="21" xfId="0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5" fillId="0" borderId="0" xfId="0" applyFont="1" applyAlignment="1">
      <alignment vertical="center" wrapText="1"/>
    </xf>
    <xf numFmtId="2" fontId="21" fillId="0" borderId="10" xfId="0" applyNumberFormat="1" applyFont="1" applyBorder="1" applyAlignment="1">
      <alignment horizontal="left" vertical="center" wrapText="1"/>
    </xf>
    <xf numFmtId="0" fontId="21" fillId="0" borderId="0" xfId="0" applyFont="1" applyAlignment="1">
      <alignment vertical="center" wrapText="1"/>
    </xf>
    <xf numFmtId="0" fontId="21" fillId="0" borderId="10" xfId="47" applyNumberFormat="1" applyFont="1" applyFill="1" applyBorder="1" applyAlignment="1">
      <alignment horizontal="center" vertical="center" wrapText="1"/>
    </xf>
    <xf numFmtId="2" fontId="21" fillId="0" borderId="10" xfId="47" applyNumberFormat="1" applyFont="1" applyFill="1" applyBorder="1" applyAlignment="1">
      <alignment horizontal="center" vertical="center" wrapText="1"/>
    </xf>
    <xf numFmtId="2" fontId="21" fillId="0" borderId="10" xfId="47" applyNumberFormat="1" applyFont="1" applyFill="1" applyBorder="1" applyAlignment="1">
      <alignment vertical="center" wrapText="1"/>
    </xf>
    <xf numFmtId="4" fontId="21" fillId="0" borderId="10" xfId="0" applyNumberFormat="1" applyFont="1" applyBorder="1" applyAlignment="1">
      <alignment vertical="center" wrapText="1"/>
    </xf>
    <xf numFmtId="0" fontId="24" fillId="0" borderId="0" xfId="0" applyFont="1" applyAlignment="1">
      <alignment vertical="center"/>
    </xf>
    <xf numFmtId="166" fontId="24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4" fontId="33" fillId="0" borderId="27" xfId="0" applyNumberFormat="1" applyFont="1" applyBorder="1" applyAlignment="1">
      <alignment horizontal="center" vertical="center"/>
    </xf>
    <xf numFmtId="166" fontId="33" fillId="0" borderId="0" xfId="0" applyNumberFormat="1" applyFont="1" applyAlignment="1">
      <alignment vertical="center"/>
    </xf>
    <xf numFmtId="0" fontId="33" fillId="0" borderId="21" xfId="0" applyFont="1" applyBorder="1" applyAlignment="1">
      <alignment horizontal="center" vertical="center"/>
    </xf>
    <xf numFmtId="4" fontId="35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165" fontId="30" fillId="0" borderId="0" xfId="0" applyNumberFormat="1" applyFont="1" applyAlignment="1">
      <alignment horizontal="center" vertical="center"/>
    </xf>
    <xf numFmtId="0" fontId="30" fillId="0" borderId="17" xfId="0" applyFont="1" applyBorder="1" applyAlignment="1">
      <alignment vertical="center"/>
    </xf>
    <xf numFmtId="0" fontId="30" fillId="0" borderId="22" xfId="0" applyFont="1" applyBorder="1" applyAlignment="1">
      <alignment horizontal="left" vertical="center"/>
    </xf>
    <xf numFmtId="0" fontId="30" fillId="0" borderId="22" xfId="0" applyFont="1" applyBorder="1" applyAlignment="1">
      <alignment vertical="center"/>
    </xf>
    <xf numFmtId="10" fontId="22" fillId="0" borderId="25" xfId="0" applyNumberFormat="1" applyFont="1" applyBorder="1" applyAlignment="1">
      <alignment horizontal="center" vertical="center" wrapText="1"/>
    </xf>
    <xf numFmtId="165" fontId="22" fillId="0" borderId="26" xfId="0" applyNumberFormat="1" applyFont="1" applyBorder="1" applyAlignment="1">
      <alignment horizontal="center" vertical="center" wrapText="1"/>
    </xf>
    <xf numFmtId="10" fontId="24" fillId="0" borderId="26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36" fillId="0" borderId="10" xfId="0" applyFont="1" applyBorder="1" applyAlignment="1">
      <alignment horizontal="center" vertical="center" wrapText="1"/>
    </xf>
    <xf numFmtId="2" fontId="36" fillId="0" borderId="10" xfId="47" applyNumberFormat="1" applyFont="1" applyFill="1" applyBorder="1" applyAlignment="1">
      <alignment horizontal="center" vertical="center" wrapText="1"/>
    </xf>
    <xf numFmtId="0" fontId="36" fillId="0" borderId="10" xfId="0" applyFont="1" applyBorder="1" applyAlignment="1">
      <alignment horizontal="left" vertical="center" wrapText="1"/>
    </xf>
    <xf numFmtId="2" fontId="36" fillId="0" borderId="10" xfId="0" applyNumberFormat="1" applyFont="1" applyBorder="1" applyAlignment="1">
      <alignment horizontal="left" vertical="center" wrapText="1"/>
    </xf>
    <xf numFmtId="0" fontId="21" fillId="0" borderId="12" xfId="0" applyFont="1" applyBorder="1" applyAlignment="1">
      <alignment horizontal="right" vertical="center" wrapText="1"/>
    </xf>
    <xf numFmtId="10" fontId="21" fillId="0" borderId="18" xfId="33" applyNumberFormat="1" applyFont="1" applyFill="1" applyBorder="1" applyAlignment="1">
      <alignment horizontal="left" vertical="center"/>
    </xf>
    <xf numFmtId="2" fontId="3" fillId="0" borderId="10" xfId="0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/>
    </xf>
    <xf numFmtId="0" fontId="22" fillId="0" borderId="10" xfId="0" applyFont="1" applyBorder="1" applyAlignment="1">
      <alignment vertical="center" wrapText="1"/>
    </xf>
    <xf numFmtId="165" fontId="22" fillId="0" borderId="10" xfId="0" applyNumberFormat="1" applyFont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 wrapText="1"/>
    </xf>
    <xf numFmtId="0" fontId="36" fillId="0" borderId="10" xfId="0" applyFont="1" applyBorder="1" applyAlignment="1">
      <alignment vertical="center" wrapText="1"/>
    </xf>
    <xf numFmtId="4" fontId="36" fillId="0" borderId="10" xfId="0" applyNumberFormat="1" applyFont="1" applyBorder="1" applyAlignment="1">
      <alignment horizontal="left" vertical="center" wrapText="1"/>
    </xf>
    <xf numFmtId="4" fontId="36" fillId="0" borderId="10" xfId="0" applyNumberFormat="1" applyFont="1" applyBorder="1" applyAlignment="1">
      <alignment horizontal="center" vertical="center" wrapText="1"/>
    </xf>
    <xf numFmtId="0" fontId="36" fillId="0" borderId="10" xfId="47" applyNumberFormat="1" applyFont="1" applyFill="1" applyBorder="1" applyAlignment="1">
      <alignment horizontal="center" vertical="center" wrapText="1"/>
    </xf>
    <xf numFmtId="4" fontId="36" fillId="0" borderId="10" xfId="0" applyNumberFormat="1" applyFont="1" applyBorder="1" applyAlignment="1">
      <alignment vertical="center" wrapText="1"/>
    </xf>
    <xf numFmtId="0" fontId="3" fillId="0" borderId="10" xfId="48" applyFont="1" applyBorder="1" applyAlignment="1">
      <alignment horizontal="center" vertical="center" wrapText="1"/>
    </xf>
    <xf numFmtId="167" fontId="3" fillId="0" borderId="10" xfId="48" applyNumberFormat="1" applyFont="1" applyBorder="1" applyAlignment="1">
      <alignment horizontal="left" vertical="center" wrapText="1"/>
    </xf>
    <xf numFmtId="167" fontId="3" fillId="0" borderId="10" xfId="48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9" fontId="36" fillId="0" borderId="10" xfId="0" applyNumberFormat="1" applyFont="1" applyBorder="1" applyAlignment="1">
      <alignment horizontal="center" vertical="center" wrapText="1"/>
    </xf>
    <xf numFmtId="167" fontId="22" fillId="0" borderId="10" xfId="48" applyNumberFormat="1" applyFont="1" applyBorder="1" applyAlignment="1">
      <alignment horizontal="left" vertical="center" wrapText="1"/>
    </xf>
    <xf numFmtId="0" fontId="24" fillId="25" borderId="10" xfId="0" applyFont="1" applyFill="1" applyBorder="1" applyAlignment="1">
      <alignment horizontal="center" vertical="center"/>
    </xf>
    <xf numFmtId="49" fontId="24" fillId="25" borderId="10" xfId="0" applyNumberFormat="1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vertical="center"/>
    </xf>
    <xf numFmtId="2" fontId="24" fillId="25" borderId="10" xfId="0" applyNumberFormat="1" applyFont="1" applyFill="1" applyBorder="1" applyAlignment="1">
      <alignment horizontal="center" vertical="center"/>
    </xf>
    <xf numFmtId="165" fontId="24" fillId="25" borderId="10" xfId="0" applyNumberFormat="1" applyFont="1" applyFill="1" applyBorder="1" applyAlignment="1">
      <alignment horizontal="center" vertical="center"/>
    </xf>
    <xf numFmtId="2" fontId="22" fillId="25" borderId="10" xfId="0" applyNumberFormat="1" applyFont="1" applyFill="1" applyBorder="1" applyAlignment="1">
      <alignment horizontal="center" vertical="center"/>
    </xf>
    <xf numFmtId="165" fontId="24" fillId="25" borderId="10" xfId="0" applyNumberFormat="1" applyFont="1" applyFill="1" applyBorder="1" applyAlignment="1">
      <alignment horizontal="center" vertical="center" wrapText="1"/>
    </xf>
    <xf numFmtId="0" fontId="22" fillId="25" borderId="10" xfId="0" applyFont="1" applyFill="1" applyBorder="1" applyAlignment="1">
      <alignment horizontal="center" vertical="center"/>
    </xf>
    <xf numFmtId="49" fontId="22" fillId="25" borderId="10" xfId="0" applyNumberFormat="1" applyFont="1" applyFill="1" applyBorder="1" applyAlignment="1">
      <alignment horizontal="center" vertical="center"/>
    </xf>
    <xf numFmtId="0" fontId="22" fillId="25" borderId="10" xfId="0" applyFont="1" applyFill="1" applyBorder="1" applyAlignment="1">
      <alignment vertical="center" wrapText="1"/>
    </xf>
    <xf numFmtId="165" fontId="22" fillId="25" borderId="10" xfId="0" applyNumberFormat="1" applyFont="1" applyFill="1" applyBorder="1" applyAlignment="1">
      <alignment horizontal="center" vertical="center" wrapText="1"/>
    </xf>
    <xf numFmtId="165" fontId="24" fillId="25" borderId="10" xfId="0" applyNumberFormat="1" applyFont="1" applyFill="1" applyBorder="1" applyAlignment="1">
      <alignment horizontal="right" vertical="center" wrapText="1"/>
    </xf>
    <xf numFmtId="0" fontId="21" fillId="0" borderId="28" xfId="0" applyFont="1" applyBorder="1" applyAlignment="1">
      <alignment vertical="center"/>
    </xf>
    <xf numFmtId="4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3" fillId="0" borderId="0" xfId="0" applyFont="1" applyAlignment="1">
      <alignment vertical="center" wrapText="1"/>
    </xf>
    <xf numFmtId="49" fontId="3" fillId="0" borderId="21" xfId="0" applyNumberFormat="1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center" vertical="center"/>
    </xf>
    <xf numFmtId="0" fontId="24" fillId="25" borderId="10" xfId="0" applyFont="1" applyFill="1" applyBorder="1" applyAlignment="1">
      <alignment vertical="center" wrapText="1"/>
    </xf>
    <xf numFmtId="0" fontId="27" fillId="0" borderId="12" xfId="0" applyFont="1" applyBorder="1" applyAlignment="1">
      <alignment horizontal="left" vertical="center"/>
    </xf>
    <xf numFmtId="0" fontId="22" fillId="0" borderId="0" xfId="0" applyFont="1" applyAlignment="1">
      <alignment wrapText="1"/>
    </xf>
    <xf numFmtId="0" fontId="3" fillId="0" borderId="10" xfId="47" applyNumberFormat="1" applyFont="1" applyFill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vertical="center" wrapText="1"/>
    </xf>
    <xf numFmtId="0" fontId="3" fillId="0" borderId="10" xfId="0" applyFont="1" applyBorder="1"/>
    <xf numFmtId="0" fontId="3" fillId="0" borderId="10" xfId="0" applyFont="1" applyBorder="1" applyAlignment="1">
      <alignment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26" borderId="10" xfId="0" applyFont="1" applyFill="1" applyBorder="1" applyAlignment="1">
      <alignment horizontal="center" vertical="center"/>
    </xf>
    <xf numFmtId="49" fontId="22" fillId="26" borderId="10" xfId="0" applyNumberFormat="1" applyFont="1" applyFill="1" applyBorder="1" applyAlignment="1">
      <alignment horizontal="center" vertical="center"/>
    </xf>
    <xf numFmtId="0" fontId="24" fillId="26" borderId="10" xfId="0" applyFont="1" applyFill="1" applyBorder="1" applyAlignment="1">
      <alignment vertical="center" wrapText="1"/>
    </xf>
    <xf numFmtId="2" fontId="22" fillId="26" borderId="10" xfId="0" applyNumberFormat="1" applyFont="1" applyFill="1" applyBorder="1" applyAlignment="1">
      <alignment horizontal="center" vertical="center"/>
    </xf>
    <xf numFmtId="165" fontId="22" fillId="26" borderId="10" xfId="0" applyNumberFormat="1" applyFont="1" applyFill="1" applyBorder="1" applyAlignment="1">
      <alignment horizontal="center" vertical="center"/>
    </xf>
    <xf numFmtId="165" fontId="22" fillId="26" borderId="10" xfId="0" applyNumberFormat="1" applyFont="1" applyFill="1" applyBorder="1" applyAlignment="1">
      <alignment horizontal="center" vertical="center" wrapText="1"/>
    </xf>
    <xf numFmtId="0" fontId="24" fillId="26" borderId="10" xfId="0" applyFont="1" applyFill="1" applyBorder="1" applyAlignment="1">
      <alignment horizontal="center" vertical="center"/>
    </xf>
    <xf numFmtId="165" fontId="40" fillId="25" borderId="10" xfId="0" applyNumberFormat="1" applyFont="1" applyFill="1" applyBorder="1" applyAlignment="1">
      <alignment horizontal="center" vertical="center"/>
    </xf>
    <xf numFmtId="0" fontId="39" fillId="0" borderId="10" xfId="0" applyFont="1" applyBorder="1" applyAlignment="1">
      <alignment horizontal="left" vertical="center" wrapText="1"/>
    </xf>
    <xf numFmtId="165" fontId="40" fillId="25" borderId="10" xfId="0" applyNumberFormat="1" applyFont="1" applyFill="1" applyBorder="1" applyAlignment="1">
      <alignment horizontal="center" vertical="center" wrapText="1"/>
    </xf>
    <xf numFmtId="165" fontId="40" fillId="26" borderId="10" xfId="0" applyNumberFormat="1" applyFont="1" applyFill="1" applyBorder="1" applyAlignment="1">
      <alignment horizontal="center" vertical="center" wrapText="1"/>
    </xf>
    <xf numFmtId="2" fontId="36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65" fontId="21" fillId="0" borderId="22" xfId="0" applyNumberFormat="1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0" xfId="0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49" fontId="22" fillId="0" borderId="28" xfId="0" applyNumberFormat="1" applyFont="1" applyBorder="1" applyAlignment="1">
      <alignment horizontal="center" vertical="center"/>
    </xf>
    <xf numFmtId="0" fontId="22" fillId="0" borderId="28" xfId="0" applyFont="1" applyBorder="1" applyAlignment="1">
      <alignment vertical="center" wrapText="1"/>
    </xf>
    <xf numFmtId="2" fontId="22" fillId="0" borderId="28" xfId="0" applyNumberFormat="1" applyFont="1" applyBorder="1" applyAlignment="1">
      <alignment horizontal="center" vertical="center"/>
    </xf>
    <xf numFmtId="165" fontId="22" fillId="0" borderId="28" xfId="0" applyNumberFormat="1" applyFont="1" applyBorder="1" applyAlignment="1">
      <alignment horizontal="center" vertical="center" wrapText="1"/>
    </xf>
    <xf numFmtId="165" fontId="24" fillId="0" borderId="28" xfId="0" applyNumberFormat="1" applyFont="1" applyBorder="1" applyAlignment="1">
      <alignment horizontal="right" vertical="center" wrapText="1"/>
    </xf>
    <xf numFmtId="165" fontId="24" fillId="0" borderId="23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2" fillId="0" borderId="22" xfId="0" applyFont="1" applyBorder="1" applyAlignment="1">
      <alignment vertical="center"/>
    </xf>
    <xf numFmtId="2" fontId="3" fillId="0" borderId="2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0" fontId="21" fillId="0" borderId="32" xfId="0" applyFont="1" applyBorder="1" applyAlignment="1">
      <alignment horizontal="left" vertical="center"/>
    </xf>
    <xf numFmtId="49" fontId="21" fillId="0" borderId="35" xfId="0" applyNumberFormat="1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/>
    </xf>
    <xf numFmtId="0" fontId="36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2" fontId="3" fillId="0" borderId="36" xfId="0" applyNumberFormat="1" applyFont="1" applyBorder="1" applyAlignment="1">
      <alignment horizontal="center" vertical="center"/>
    </xf>
    <xf numFmtId="0" fontId="39" fillId="0" borderId="35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4" fontId="3" fillId="0" borderId="36" xfId="0" applyNumberFormat="1" applyFont="1" applyBorder="1" applyAlignment="1">
      <alignment horizontal="center" vertical="center"/>
    </xf>
    <xf numFmtId="49" fontId="30" fillId="0" borderId="37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 wrapText="1"/>
    </xf>
    <xf numFmtId="0" fontId="30" fillId="0" borderId="33" xfId="0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49" fontId="30" fillId="0" borderId="38" xfId="0" applyNumberFormat="1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39" xfId="0" applyFont="1" applyBorder="1" applyAlignment="1">
      <alignment horizontal="left" vertical="center" wrapText="1"/>
    </xf>
    <xf numFmtId="4" fontId="30" fillId="0" borderId="39" xfId="0" applyNumberFormat="1" applyFont="1" applyBorder="1" applyAlignment="1">
      <alignment horizontal="center" vertical="center"/>
    </xf>
    <xf numFmtId="0" fontId="30" fillId="0" borderId="39" xfId="0" applyFont="1" applyBorder="1" applyAlignment="1">
      <alignment vertical="center" wrapText="1"/>
    </xf>
    <xf numFmtId="0" fontId="30" fillId="0" borderId="40" xfId="0" applyFont="1" applyBorder="1" applyAlignment="1">
      <alignment vertical="center"/>
    </xf>
    <xf numFmtId="49" fontId="21" fillId="0" borderId="37" xfId="0" applyNumberFormat="1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45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21" fillId="0" borderId="41" xfId="0" applyFont="1" applyBorder="1" applyAlignment="1">
      <alignment horizontal="center" vertical="center"/>
    </xf>
    <xf numFmtId="0" fontId="21" fillId="0" borderId="32" xfId="0" applyFont="1" applyBorder="1" applyAlignment="1">
      <alignment vertical="center"/>
    </xf>
    <xf numFmtId="0" fontId="21" fillId="0" borderId="46" xfId="0" applyFont="1" applyBorder="1" applyAlignment="1">
      <alignment vertical="center"/>
    </xf>
    <xf numFmtId="0" fontId="21" fillId="0" borderId="35" xfId="0" applyFont="1" applyBorder="1" applyAlignment="1">
      <alignment vertical="center"/>
    </xf>
    <xf numFmtId="165" fontId="21" fillId="0" borderId="41" xfId="0" applyNumberFormat="1" applyFont="1" applyBorder="1" applyAlignment="1">
      <alignment horizontal="right" vertical="center"/>
    </xf>
    <xf numFmtId="165" fontId="21" fillId="0" borderId="34" xfId="0" applyNumberFormat="1" applyFont="1" applyBorder="1" applyAlignment="1">
      <alignment horizontal="right" vertical="center"/>
    </xf>
    <xf numFmtId="10" fontId="22" fillId="0" borderId="51" xfId="0" applyNumberFormat="1" applyFont="1" applyBorder="1" applyAlignment="1">
      <alignment horizontal="center" vertical="center" wrapText="1"/>
    </xf>
    <xf numFmtId="165" fontId="22" fillId="0" borderId="52" xfId="0" applyNumberFormat="1" applyFont="1" applyBorder="1" applyAlignment="1">
      <alignment horizontal="center" vertical="center" wrapText="1"/>
    </xf>
    <xf numFmtId="10" fontId="24" fillId="0" borderId="36" xfId="0" applyNumberFormat="1" applyFont="1" applyBorder="1" applyAlignment="1">
      <alignment horizontal="center" vertical="center" wrapText="1"/>
    </xf>
    <xf numFmtId="165" fontId="24" fillId="24" borderId="55" xfId="0" applyNumberFormat="1" applyFont="1" applyFill="1" applyBorder="1" applyAlignment="1">
      <alignment horizontal="center" vertical="center" wrapText="1"/>
    </xf>
    <xf numFmtId="165" fontId="24" fillId="0" borderId="55" xfId="0" applyNumberFormat="1" applyFont="1" applyBorder="1" applyAlignment="1">
      <alignment horizontal="center" vertical="center" wrapText="1"/>
    </xf>
    <xf numFmtId="165" fontId="24" fillId="24" borderId="56" xfId="0" applyNumberFormat="1" applyFont="1" applyFill="1" applyBorder="1" applyAlignment="1">
      <alignment horizontal="center" vertical="center" wrapText="1"/>
    </xf>
    <xf numFmtId="2" fontId="3" fillId="0" borderId="36" xfId="0" applyNumberFormat="1" applyFont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4" fontId="29" fillId="0" borderId="11" xfId="0" applyNumberFormat="1" applyFont="1" applyBorder="1" applyAlignment="1">
      <alignment horizontal="center" vertical="center" wrapText="1"/>
    </xf>
    <xf numFmtId="4" fontId="29" fillId="0" borderId="16" xfId="0" applyNumberFormat="1" applyFont="1" applyBorder="1" applyAlignment="1">
      <alignment horizontal="center" vertical="center"/>
    </xf>
    <xf numFmtId="4" fontId="29" fillId="0" borderId="15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28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49" fontId="3" fillId="0" borderId="37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33" xfId="0" applyNumberFormat="1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39" xfId="0" applyNumberFormat="1" applyFont="1" applyBorder="1" applyAlignment="1">
      <alignment horizontal="center" vertical="center" wrapText="1"/>
    </xf>
    <xf numFmtId="49" fontId="3" fillId="0" borderId="40" xfId="0" applyNumberFormat="1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42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54" xfId="0" applyFont="1" applyBorder="1" applyAlignment="1">
      <alignment horizontal="center" vertical="center"/>
    </xf>
    <xf numFmtId="0" fontId="24" fillId="0" borderId="55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24" fillId="0" borderId="3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47" xfId="0" applyFont="1" applyBorder="1" applyAlignment="1">
      <alignment horizontal="center" vertical="center" wrapText="1"/>
    </xf>
    <xf numFmtId="0" fontId="24" fillId="0" borderId="49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24" fillId="0" borderId="48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center" vertical="center" wrapText="1"/>
    </xf>
    <xf numFmtId="165" fontId="21" fillId="0" borderId="12" xfId="0" applyNumberFormat="1" applyFont="1" applyBorder="1" applyAlignment="1">
      <alignment horizontal="right" vertical="center"/>
    </xf>
    <xf numFmtId="165" fontId="21" fillId="0" borderId="13" xfId="0" applyNumberFormat="1" applyFont="1" applyBorder="1" applyAlignment="1">
      <alignment horizontal="right" vertical="center"/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eutro" xfId="31" builtinId="28" customBuiltin="1"/>
    <cellStyle name="Normal" xfId="0" builtinId="0"/>
    <cellStyle name="Normal 2 2" xfId="45" xr:uid="{00000000-0005-0000-0000-000020000000}"/>
    <cellStyle name="Normal 3" xfId="48" xr:uid="{00000000-0005-0000-0000-000021000000}"/>
    <cellStyle name="Nota" xfId="32" builtinId="10" customBuiltin="1"/>
    <cellStyle name="Porcentagem" xfId="33" builtinId="5"/>
    <cellStyle name="Porcentagem 2" xfId="46" xr:uid="{00000000-0005-0000-0000-000024000000}"/>
    <cellStyle name="Ruim" xfId="30" builtinId="27" customBuiltin="1"/>
    <cellStyle name="Saída" xfId="34" builtinId="21" customBuiltin="1"/>
    <cellStyle name="Separador de milhares 2" xfId="44" xr:uid="{00000000-0005-0000-0000-000026000000}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" xfId="47" builtinId="3"/>
    <cellStyle name="Vírgula 4" xfId="43" xr:uid="{00000000-0005-0000-0000-000030000000}"/>
  </cellStyles>
  <dxfs count="2"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colors>
    <mruColors>
      <color rgb="FFBFBFBF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427892</xdr:colOff>
      <xdr:row>1</xdr:row>
      <xdr:rowOff>117231</xdr:rowOff>
    </xdr:from>
    <xdr:to>
      <xdr:col>2</xdr:col>
      <xdr:colOff>540960</xdr:colOff>
      <xdr:row>1</xdr:row>
      <xdr:rowOff>1137138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1E10344B-7567-49F7-A7D8-E5EFEF453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5784" y="287216"/>
          <a:ext cx="851622" cy="1019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106680</xdr:colOff>
      <xdr:row>0</xdr:row>
      <xdr:rowOff>137160</xdr:rowOff>
    </xdr:from>
    <xdr:to>
      <xdr:col>3</xdr:col>
      <xdr:colOff>264882</xdr:colOff>
      <xdr:row>6</xdr:row>
      <xdr:rowOff>151227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59B341FC-AC4D-4E9B-A65C-163651F184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5420" y="137160"/>
          <a:ext cx="851622" cy="101990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71120</xdr:colOff>
      <xdr:row>0</xdr:row>
      <xdr:rowOff>40641</xdr:rowOff>
    </xdr:from>
    <xdr:to>
      <xdr:col>1</xdr:col>
      <xdr:colOff>306120</xdr:colOff>
      <xdr:row>0</xdr:row>
      <xdr:rowOff>833120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63CF8E10-80C9-4954-86EC-849F38BB8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120" y="40641"/>
          <a:ext cx="661720" cy="7924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uario\Google%20Drive\DFT%20Projetos\PROJETOS\SERRANIA\PROJETOS\PRA&#199;A\PROJETO%20PRACA%20SETE%20ORELHAS\PLANILHA%20M+&#220;LTIPLA%202.3%20-%20RAND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 refreshError="1"/>
      <sheetData sheetId="1" refreshError="1"/>
      <sheetData sheetId="2" refreshError="1">
        <row r="29">
          <cell r="G29">
            <v>43009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2:L104"/>
  <sheetViews>
    <sheetView showGridLines="0" tabSelected="1" topLeftCell="A80" zoomScale="130" zoomScaleNormal="130" zoomScaleSheetLayoutView="75" workbookViewId="0">
      <selection activeCell="I80" sqref="I80"/>
    </sheetView>
  </sheetViews>
  <sheetFormatPr defaultColWidth="9.21875" defaultRowHeight="13.2" x14ac:dyDescent="0.25"/>
  <cols>
    <col min="1" max="1" width="6.21875" style="2" customWidth="1"/>
    <col min="2" max="2" width="10.77734375" style="3" customWidth="1"/>
    <col min="3" max="3" width="10.5546875" style="3" customWidth="1"/>
    <col min="4" max="4" width="55.5546875" style="14" customWidth="1"/>
    <col min="5" max="5" width="9.77734375" style="3" customWidth="1"/>
    <col min="6" max="6" width="8.5546875" style="41" customWidth="1"/>
    <col min="7" max="8" width="9.77734375" style="4" customWidth="1"/>
    <col min="9" max="9" width="13.44140625" style="4" bestFit="1" customWidth="1"/>
    <col min="10" max="11" width="9.21875" style="10"/>
    <col min="12" max="12" width="9.21875" style="45"/>
    <col min="13" max="16384" width="9.21875" style="10"/>
  </cols>
  <sheetData>
    <row r="2" spans="1:12" ht="94.8" customHeight="1" x14ac:dyDescent="0.25">
      <c r="A2" s="6"/>
      <c r="B2" s="7"/>
      <c r="C2" s="232" t="s">
        <v>293</v>
      </c>
      <c r="D2" s="233"/>
      <c r="E2" s="233"/>
      <c r="F2" s="233"/>
      <c r="G2" s="233"/>
      <c r="H2" s="233"/>
      <c r="I2" s="234"/>
    </row>
    <row r="3" spans="1:12" s="31" customFormat="1" x14ac:dyDescent="0.25">
      <c r="A3" s="29"/>
      <c r="B3" s="30"/>
      <c r="C3" s="30"/>
      <c r="D3" s="54"/>
      <c r="E3" s="30"/>
      <c r="F3" s="37"/>
      <c r="G3" s="52"/>
      <c r="H3" s="30"/>
      <c r="I3" s="35"/>
      <c r="L3" s="46"/>
    </row>
    <row r="4" spans="1:12" s="31" customFormat="1" ht="15.6" x14ac:dyDescent="0.25">
      <c r="A4" s="238" t="s">
        <v>19</v>
      </c>
      <c r="B4" s="238"/>
      <c r="C4" s="238"/>
      <c r="D4" s="238"/>
      <c r="E4" s="238"/>
      <c r="F4" s="238"/>
      <c r="G4" s="238"/>
      <c r="H4" s="238"/>
      <c r="I4" s="238"/>
      <c r="L4" s="46"/>
    </row>
    <row r="5" spans="1:12" s="31" customFormat="1" x14ac:dyDescent="0.25">
      <c r="A5" s="61"/>
      <c r="B5" s="32"/>
      <c r="C5" s="32"/>
      <c r="D5" s="55"/>
      <c r="E5" s="32"/>
      <c r="F5" s="38"/>
      <c r="G5" s="32"/>
      <c r="H5" s="32"/>
      <c r="I5" s="62"/>
      <c r="L5" s="46"/>
    </row>
    <row r="6" spans="1:12" s="31" customFormat="1" x14ac:dyDescent="0.25">
      <c r="A6" s="12" t="str">
        <f>'MM CALC'!A11</f>
        <v>PREFEITURA MUNICIPAL DE DONA EUZÉBIA</v>
      </c>
      <c r="B6" s="33"/>
      <c r="C6" s="33"/>
      <c r="D6" s="56"/>
      <c r="E6" s="16" t="str">
        <f>'MM CALC'!E11</f>
        <v>DATA: 20/09/2022</v>
      </c>
      <c r="F6" s="38"/>
      <c r="G6" s="53"/>
      <c r="H6" s="34"/>
      <c r="I6" s="36"/>
      <c r="L6" s="46"/>
    </row>
    <row r="7" spans="1:12" s="31" customFormat="1" x14ac:dyDescent="0.25">
      <c r="A7" s="146" t="str">
        <f>'MM CALC'!A12</f>
        <v>OBRA: CONSTRUÇÃO DA AMPLIAÇÃO DO ALMOXARIFADO DA FARMACIA DE MINAS</v>
      </c>
      <c r="B7" s="1"/>
      <c r="C7" s="1"/>
      <c r="D7" s="57"/>
      <c r="E7" s="241"/>
      <c r="F7" s="242"/>
      <c r="G7" s="242"/>
      <c r="H7" s="242"/>
      <c r="I7" s="243"/>
      <c r="L7" s="46"/>
    </row>
    <row r="8" spans="1:12" s="31" customFormat="1" ht="30" customHeight="1" x14ac:dyDescent="0.25">
      <c r="A8" s="248" t="str">
        <f>'MM CALC'!A13</f>
        <v>LOCAL: RUA NILO LACERDA WERNECK, Nº 01 - BELA VISTA - DONA EUZÉBIA/MG</v>
      </c>
      <c r="B8" s="249"/>
      <c r="C8" s="249"/>
      <c r="D8" s="250"/>
      <c r="E8" s="239" t="s">
        <v>11</v>
      </c>
      <c r="F8" s="240"/>
      <c r="G8" s="244"/>
      <c r="H8" s="245"/>
      <c r="I8" s="235" t="s">
        <v>35</v>
      </c>
      <c r="L8" s="46"/>
    </row>
    <row r="9" spans="1:12" s="31" customFormat="1" x14ac:dyDescent="0.25">
      <c r="A9" s="251" t="s">
        <v>321</v>
      </c>
      <c r="B9" s="252"/>
      <c r="C9" s="252"/>
      <c r="D9" s="253"/>
      <c r="E9" s="42" t="s">
        <v>5</v>
      </c>
      <c r="F9" s="43" t="s">
        <v>3</v>
      </c>
      <c r="G9" s="246"/>
      <c r="H9" s="247"/>
      <c r="I9" s="236"/>
      <c r="L9" s="46"/>
    </row>
    <row r="10" spans="1:12" s="31" customFormat="1" x14ac:dyDescent="0.25">
      <c r="A10" s="254"/>
      <c r="B10" s="255"/>
      <c r="C10" s="255"/>
      <c r="D10" s="256"/>
      <c r="E10" s="42" t="s">
        <v>10</v>
      </c>
      <c r="F10" s="43" t="s">
        <v>4</v>
      </c>
      <c r="G10" s="102" t="s">
        <v>17</v>
      </c>
      <c r="H10" s="103">
        <v>0.28820000000000001</v>
      </c>
      <c r="I10" s="237"/>
      <c r="L10" s="46"/>
    </row>
    <row r="11" spans="1:12" x14ac:dyDescent="0.25">
      <c r="A11" s="8"/>
      <c r="B11" s="1"/>
      <c r="C11" s="1"/>
      <c r="D11" s="58"/>
      <c r="E11" s="1"/>
      <c r="F11" s="39"/>
      <c r="G11" s="9"/>
      <c r="H11" s="9"/>
      <c r="I11" s="15"/>
    </row>
    <row r="12" spans="1:12" s="3" customFormat="1" ht="26.4" x14ac:dyDescent="0.25">
      <c r="A12" s="49" t="s">
        <v>0</v>
      </c>
      <c r="B12" s="50" t="s">
        <v>8</v>
      </c>
      <c r="C12" s="50" t="s">
        <v>2</v>
      </c>
      <c r="D12" s="27" t="s">
        <v>1</v>
      </c>
      <c r="E12" s="50" t="s">
        <v>26</v>
      </c>
      <c r="F12" s="48" t="s">
        <v>6</v>
      </c>
      <c r="G12" s="5" t="s">
        <v>12</v>
      </c>
      <c r="H12" s="5" t="s">
        <v>13</v>
      </c>
      <c r="I12" s="5" t="s">
        <v>7</v>
      </c>
      <c r="L12" s="51"/>
    </row>
    <row r="13" spans="1:12" s="81" customFormat="1" ht="10.199999999999999" x14ac:dyDescent="0.25">
      <c r="A13" s="126">
        <f>'MM CALC'!A16</f>
        <v>1</v>
      </c>
      <c r="B13" s="126"/>
      <c r="C13" s="127"/>
      <c r="D13" s="128" t="str">
        <f>'MM CALC'!D16</f>
        <v>INSTALAÇÕES INICIAIS DA OBRA</v>
      </c>
      <c r="E13" s="127"/>
      <c r="F13" s="129"/>
      <c r="G13" s="130"/>
      <c r="H13" s="130"/>
      <c r="I13" s="162">
        <f>SUM(I14:I14)</f>
        <v>1577.65</v>
      </c>
      <c r="L13" s="82"/>
    </row>
    <row r="14" spans="1:12" s="20" customFormat="1" ht="51" x14ac:dyDescent="0.25">
      <c r="A14" s="19" t="str">
        <f>'MM CALC'!A17</f>
        <v>1.1</v>
      </c>
      <c r="B14" s="19" t="str">
        <f>'MM CALC'!B17</f>
        <v>SEINFRA</v>
      </c>
      <c r="C14" s="109" t="str">
        <f>'MM CALC'!C17</f>
        <v>ED-50152</v>
      </c>
      <c r="D14" s="110" t="str">
        <f>'MM CALC'!D17</f>
        <v>FORNECIMENTO E COLOCAÇÃO DE PLACA DE OBRA EM CHAPA GALVANIZADA (3,00 X 1,5 0 M) - EM CHAPA GALVANIZADA 0,26 AFIXADAS COM REBITES 540 E PARAFUSOS 3/8, EM ESTRUTURA METÁLICA VIGA U 2" ENRIJECIDA COM METALON 20 X 20, SUPORTE EM EUCALIPTO AUTOCLAVADO PINTADAS</v>
      </c>
      <c r="E14" s="40" t="str">
        <f>'MM CALC'!E17</f>
        <v>un</v>
      </c>
      <c r="F14" s="40">
        <f>'MM CALC'!F17</f>
        <v>1</v>
      </c>
      <c r="G14" s="111">
        <v>1224.69</v>
      </c>
      <c r="H14" s="112">
        <f>ROUND((G14*(1+$H$10)),2)</f>
        <v>1577.65</v>
      </c>
      <c r="I14" s="112">
        <f>ROUND((F14*H14),2)</f>
        <v>1577.65</v>
      </c>
      <c r="L14" s="47"/>
    </row>
    <row r="15" spans="1:12" s="81" customFormat="1" ht="10.199999999999999" x14ac:dyDescent="0.25">
      <c r="A15" s="126">
        <f>'MM CALC'!A18</f>
        <v>2</v>
      </c>
      <c r="B15" s="126"/>
      <c r="C15" s="127"/>
      <c r="D15" s="128" t="str">
        <f>'MM CALC'!D18</f>
        <v>ESTRUTURAS DE CONCRETO ARMADO</v>
      </c>
      <c r="E15" s="129"/>
      <c r="F15" s="131"/>
      <c r="G15" s="132"/>
      <c r="H15" s="132"/>
      <c r="I15" s="164">
        <f>SUM(I16:I27)</f>
        <v>26661.25</v>
      </c>
      <c r="L15" s="82"/>
    </row>
    <row r="16" spans="1:12" s="20" customFormat="1" ht="20.399999999999999" x14ac:dyDescent="0.25">
      <c r="A16" s="19" t="str">
        <f>'MM CALC'!A19</f>
        <v>2.1</v>
      </c>
      <c r="B16" s="19" t="str">
        <f>'MM CALC'!B19</f>
        <v>SEINFRA</v>
      </c>
      <c r="C16" s="109" t="str">
        <f>'MM CALC'!C19</f>
        <v>ED-51107</v>
      </c>
      <c r="D16" s="110" t="str">
        <f>'MM CALC'!D19</f>
        <v>ESCAVAÇÃO MANUAL DE VALA COM PROFUNDIDADE MENOR OU IGUAL A 1,5M</v>
      </c>
      <c r="E16" s="40" t="str">
        <f>'MM CALC'!E19</f>
        <v>m³</v>
      </c>
      <c r="F16" s="40">
        <f>'MM CALC'!F19</f>
        <v>5.8677499999999991</v>
      </c>
      <c r="G16" s="111">
        <v>55.11</v>
      </c>
      <c r="H16" s="112">
        <f>ROUND((G16*(1+$H$10)),2)</f>
        <v>70.989999999999995</v>
      </c>
      <c r="I16" s="112">
        <f>ROUND((F16*H16),2)</f>
        <v>416.55</v>
      </c>
      <c r="L16" s="47"/>
    </row>
    <row r="17" spans="1:12" s="20" customFormat="1" ht="10.199999999999999" x14ac:dyDescent="0.25">
      <c r="A17" s="19" t="str">
        <f>'MM CALC'!A20</f>
        <v>2.2</v>
      </c>
      <c r="B17" s="19" t="str">
        <f>'MM CALC'!B20</f>
        <v>SEINFRA</v>
      </c>
      <c r="C17" s="109" t="str">
        <f>'MM CALC'!C20</f>
        <v>ED-51093</v>
      </c>
      <c r="D17" s="110" t="str">
        <f>'MM CALC'!D20</f>
        <v>APILOAMENTO DO FUNDO DE VALAS COM SOQUETE</v>
      </c>
      <c r="E17" s="40" t="str">
        <f>'MM CALC'!E20</f>
        <v>m²</v>
      </c>
      <c r="F17" s="40">
        <f>'MM CALC'!F20</f>
        <v>9.8350000000000009</v>
      </c>
      <c r="G17" s="112">
        <v>18.64</v>
      </c>
      <c r="H17" s="112">
        <f>ROUND((G17*(1+$H$10)),2)</f>
        <v>24.01</v>
      </c>
      <c r="I17" s="112">
        <f>ROUND((F17*H17),2)</f>
        <v>236.14</v>
      </c>
      <c r="L17" s="47"/>
    </row>
    <row r="18" spans="1:12" s="20" customFormat="1" ht="10.199999999999999" x14ac:dyDescent="0.25">
      <c r="A18" s="19" t="str">
        <f>'MM CALC'!A21</f>
        <v>2.3</v>
      </c>
      <c r="B18" s="19" t="str">
        <f>'MM CALC'!B21</f>
        <v>SEINFRA</v>
      </c>
      <c r="C18" s="109" t="str">
        <f>'MM CALC'!C21</f>
        <v>ED-51120</v>
      </c>
      <c r="D18" s="110" t="str">
        <f>'MM CALC'!D21</f>
        <v>REATERRO MANUAL DE VALA</v>
      </c>
      <c r="E18" s="40" t="str">
        <f>'MM CALC'!E21</f>
        <v>m³</v>
      </c>
      <c r="F18" s="40">
        <f>'MM CALC'!F21</f>
        <v>3.2259999999999995</v>
      </c>
      <c r="G18" s="112">
        <v>55.11</v>
      </c>
      <c r="H18" s="112">
        <f t="shared" ref="H18:H21" si="0">ROUND((G18*(1+$H$10)),2)</f>
        <v>70.989999999999995</v>
      </c>
      <c r="I18" s="112">
        <f>ROUND((F18*H18),2)</f>
        <v>229.01</v>
      </c>
      <c r="L18" s="47"/>
    </row>
    <row r="19" spans="1:12" s="20" customFormat="1" ht="20.399999999999999" x14ac:dyDescent="0.25">
      <c r="A19" s="19" t="str">
        <f>'MM CALC'!A22</f>
        <v>2.4</v>
      </c>
      <c r="B19" s="19" t="str">
        <f>'MM CALC'!B22</f>
        <v>SEINFRA</v>
      </c>
      <c r="C19" s="109" t="str">
        <f>'MM CALC'!C22</f>
        <v>ED-49812</v>
      </c>
      <c r="D19" s="110" t="str">
        <f>'MM CALC'!D22</f>
        <v>LASTRO DE CONCRETO MAGRO, INCLUSIVE TRANSPORTE, LANÇAMENTO E ADENSAMENTO</v>
      </c>
      <c r="E19" s="40" t="str">
        <f>'MM CALC'!E22</f>
        <v>m³</v>
      </c>
      <c r="F19" s="40">
        <f>'MM CALC'!F22</f>
        <v>0.49175000000000002</v>
      </c>
      <c r="G19" s="111">
        <v>439.3</v>
      </c>
      <c r="H19" s="112">
        <f t="shared" si="0"/>
        <v>565.91</v>
      </c>
      <c r="I19" s="112">
        <f t="shared" ref="I19:I27" si="1">ROUND((F19*H19),2)</f>
        <v>278.29000000000002</v>
      </c>
      <c r="L19" s="47"/>
    </row>
    <row r="20" spans="1:12" s="20" customFormat="1" ht="20.399999999999999" x14ac:dyDescent="0.25">
      <c r="A20" s="19" t="str">
        <f>'MM CALC'!A23</f>
        <v>2.5</v>
      </c>
      <c r="B20" s="19" t="str">
        <f>'MM CALC'!B23</f>
        <v>SEINFRA</v>
      </c>
      <c r="C20" s="109" t="str">
        <f>'MM CALC'!C23</f>
        <v>ED-49810</v>
      </c>
      <c r="D20" s="110" t="str">
        <f>'MM CALC'!D23</f>
        <v>FORMA E DESFORMA DE TÁBUA E SARRAFO, REAPROVEITAMENTO (3X) (FUNDAÇÃO)</v>
      </c>
      <c r="E20" s="40" t="str">
        <f>'MM CALC'!E23</f>
        <v>m²</v>
      </c>
      <c r="F20" s="40">
        <f>'MM CALC'!F23</f>
        <v>27.34</v>
      </c>
      <c r="G20" s="111">
        <v>57.7</v>
      </c>
      <c r="H20" s="112">
        <f t="shared" si="0"/>
        <v>74.33</v>
      </c>
      <c r="I20" s="112">
        <f t="shared" si="1"/>
        <v>2032.18</v>
      </c>
      <c r="L20" s="47"/>
    </row>
    <row r="21" spans="1:12" s="20" customFormat="1" ht="10.199999999999999" x14ac:dyDescent="0.25">
      <c r="A21" s="19" t="str">
        <f>'MM CALC'!A24</f>
        <v>2.6</v>
      </c>
      <c r="B21" s="19" t="str">
        <f>'MM CALC'!B24</f>
        <v>SEINFRA</v>
      </c>
      <c r="C21" s="109" t="str">
        <f>'MM CALC'!C24</f>
        <v>ED-48298</v>
      </c>
      <c r="D21" s="110" t="str">
        <f>'MM CALC'!D24</f>
        <v>CORTE, DOBRA E MONTAGEM DE AÇO CA-50/60</v>
      </c>
      <c r="E21" s="40" t="str">
        <f>'MM CALC'!E24</f>
        <v>kg</v>
      </c>
      <c r="F21" s="40">
        <f>'MM CALC'!F24</f>
        <v>437.6</v>
      </c>
      <c r="G21" s="111">
        <v>12.88</v>
      </c>
      <c r="H21" s="112">
        <f t="shared" si="0"/>
        <v>16.59</v>
      </c>
      <c r="I21" s="112">
        <f t="shared" si="1"/>
        <v>7259.78</v>
      </c>
      <c r="L21" s="47"/>
    </row>
    <row r="22" spans="1:12" s="20" customFormat="1" ht="30.6" x14ac:dyDescent="0.25">
      <c r="A22" s="19" t="str">
        <f>'MM CALC'!A25</f>
        <v>2.7</v>
      </c>
      <c r="B22" s="19" t="str">
        <f>'MM CALC'!B25</f>
        <v>SEINFRA</v>
      </c>
      <c r="C22" s="109" t="str">
        <f>'MM CALC'!C25</f>
        <v>ED-49787</v>
      </c>
      <c r="D22" s="110" t="str">
        <f>'MM CALC'!D25</f>
        <v>FORNECIMENTO DE CONCRETO ESTRUTURAL, PREPARADO EM OBRA COM BETONEIRA, COM FCK 25 MPA, INCLUSIVE LANÇAMENTO, ADENSAMENTO E ACABAMENTO (FUNDAÇÃO)</v>
      </c>
      <c r="E22" s="40" t="str">
        <f>'MM CALC'!E25</f>
        <v>m³</v>
      </c>
      <c r="F22" s="40">
        <f>'MM CALC'!F25</f>
        <v>2.15</v>
      </c>
      <c r="G22" s="111">
        <v>595.35</v>
      </c>
      <c r="H22" s="112">
        <f>ROUND((G22*(1+$H$10)),2)</f>
        <v>766.93</v>
      </c>
      <c r="I22" s="112">
        <f t="shared" si="1"/>
        <v>1648.9</v>
      </c>
      <c r="L22" s="47"/>
    </row>
    <row r="23" spans="1:12" s="20" customFormat="1" ht="10.199999999999999" x14ac:dyDescent="0.25">
      <c r="A23" s="19" t="str">
        <f>'MM CALC'!A26</f>
        <v>2.8</v>
      </c>
      <c r="B23" s="19" t="str">
        <f>'MM CALC'!B26</f>
        <v>SEINFRA</v>
      </c>
      <c r="C23" s="109" t="str">
        <f>'MM CALC'!C26</f>
        <v>ED-50174</v>
      </c>
      <c r="D23" s="110" t="str">
        <f>'MM CALC'!D26</f>
        <v>PINTURA COM EMULSÃO ASFÁLTICA, DUAS (2) DEMÃOS</v>
      </c>
      <c r="E23" s="40" t="str">
        <f>'MM CALC'!E26</f>
        <v>m²</v>
      </c>
      <c r="F23" s="40">
        <f>'MM CALC'!F26</f>
        <v>17.611999999999998</v>
      </c>
      <c r="G23" s="111">
        <v>20.170000000000002</v>
      </c>
      <c r="H23" s="112">
        <f>ROUND((G23*(1+$H$10)),2)</f>
        <v>25.98</v>
      </c>
      <c r="I23" s="112">
        <f t="shared" ref="I23" si="2">ROUND((F23*H23),2)</f>
        <v>457.56</v>
      </c>
      <c r="L23" s="47"/>
    </row>
    <row r="24" spans="1:12" s="20" customFormat="1" ht="20.399999999999999" x14ac:dyDescent="0.25">
      <c r="A24" s="19" t="str">
        <f>'MM CALC'!A27</f>
        <v>2.9</v>
      </c>
      <c r="B24" s="19" t="str">
        <f>'MM CALC'!B27</f>
        <v>SEINFRA</v>
      </c>
      <c r="C24" s="109" t="str">
        <f>'MM CALC'!C27</f>
        <v>ED-49643</v>
      </c>
      <c r="D24" s="110" t="str">
        <f>'MM CALC'!D27</f>
        <v>FORMA E DESFORMA DE TÁBUA E SARRAFO, REAPROVEITAMENTO (3X), EXCLUSIVE ESCORAMENTO</v>
      </c>
      <c r="E24" s="40" t="str">
        <f>'MM CALC'!E27</f>
        <v>m²</v>
      </c>
      <c r="F24" s="40">
        <f>'MM CALC'!F27</f>
        <v>60.370000000000005</v>
      </c>
      <c r="G24" s="111">
        <v>56.01</v>
      </c>
      <c r="H24" s="112">
        <f>ROUND((G24*(1+$H$10)),2)</f>
        <v>72.150000000000006</v>
      </c>
      <c r="I24" s="112">
        <f t="shared" ref="I24" si="3">ROUND((F24*H24),2)</f>
        <v>4355.7</v>
      </c>
      <c r="L24" s="47"/>
    </row>
    <row r="25" spans="1:12" s="20" customFormat="1" ht="20.399999999999999" x14ac:dyDescent="0.25">
      <c r="A25" s="19" t="str">
        <f>'MM CALC'!A28</f>
        <v>2.10</v>
      </c>
      <c r="B25" s="19" t="str">
        <f>'MM CALC'!B28</f>
        <v>SEINFRA</v>
      </c>
      <c r="C25" s="109" t="str">
        <f>'MM CALC'!C28</f>
        <v>ED-49619</v>
      </c>
      <c r="D25" s="110" t="str">
        <f>'MM CALC'!D28</f>
        <v>FORNECIMENTO DE CONCRETO ESTRUTURAL, PREPARADO EM OBRA, COM FCK 25 MPA, INCLUSIVE LANÇAMENTO, ADENSAMENTO E ACABAMENTO</v>
      </c>
      <c r="E25" s="40" t="str">
        <f>'MM CALC'!E28</f>
        <v>m³</v>
      </c>
      <c r="F25" s="40">
        <f>'MM CALC'!F28</f>
        <v>3.12</v>
      </c>
      <c r="G25" s="111">
        <v>621.71</v>
      </c>
      <c r="H25" s="112">
        <f t="shared" ref="H25:H33" si="4">ROUND((G25*(1+$H$10)),2)</f>
        <v>800.89</v>
      </c>
      <c r="I25" s="112">
        <f t="shared" si="1"/>
        <v>2498.7800000000002</v>
      </c>
      <c r="L25" s="47"/>
    </row>
    <row r="26" spans="1:12" s="20" customFormat="1" ht="30.6" x14ac:dyDescent="0.25">
      <c r="A26" s="19" t="str">
        <f>'MM CALC'!A29</f>
        <v>2.11</v>
      </c>
      <c r="B26" s="19" t="str">
        <f>'MM CALC'!B29</f>
        <v>SEINFRA</v>
      </c>
      <c r="C26" s="109" t="str">
        <f>'MM CALC'!C29</f>
        <v>ED-19634</v>
      </c>
      <c r="D26" s="110" t="str">
        <f>'MM CALC'!D29</f>
        <v>ESCORAMENTO METÁLICO PARA LAJE E VIGA EM CONCRETO ARMADO, TIPO "B", ALTURA DE (311 ATÉ 450)CM, INCLUSIVE DESCARGA, MONTAGEM, DESMONTAGEM E CARGA</v>
      </c>
      <c r="E26" s="40" t="str">
        <f>'MM CALC'!E29</f>
        <v>m²Xmês</v>
      </c>
      <c r="F26" s="40">
        <f>'MM CALC'!F29</f>
        <v>3.34</v>
      </c>
      <c r="G26" s="111">
        <v>13.17</v>
      </c>
      <c r="H26" s="112">
        <f t="shared" si="4"/>
        <v>16.97</v>
      </c>
      <c r="I26" s="112">
        <f t="shared" si="1"/>
        <v>56.68</v>
      </c>
      <c r="L26" s="47"/>
    </row>
    <row r="27" spans="1:12" s="20" customFormat="1" ht="20.399999999999999" x14ac:dyDescent="0.25">
      <c r="A27" s="19" t="str">
        <f>'MM CALC'!A30</f>
        <v>2.12</v>
      </c>
      <c r="B27" s="19" t="str">
        <f>'MM CALC'!B30</f>
        <v>SEINFRA</v>
      </c>
      <c r="C27" s="109" t="str">
        <f>'MM CALC'!C30</f>
        <v>ED-50848</v>
      </c>
      <c r="D27" s="110" t="str">
        <f>'MM CALC'!D30</f>
        <v>LAJE 10 CM MACIÇA DE CONCRETO 20 MPA, COM ARMAÇÃO, FORMA RESINADA, ESCORAMENTO E DESFORMA</v>
      </c>
      <c r="E27" s="40" t="str">
        <f>'MM CALC'!E30</f>
        <v>m²</v>
      </c>
      <c r="F27" s="40">
        <f>'MM CALC'!F30</f>
        <v>27.35</v>
      </c>
      <c r="G27" s="111">
        <v>204.12</v>
      </c>
      <c r="H27" s="112">
        <f t="shared" si="4"/>
        <v>262.95</v>
      </c>
      <c r="I27" s="112">
        <f t="shared" si="1"/>
        <v>7191.68</v>
      </c>
      <c r="L27" s="47"/>
    </row>
    <row r="28" spans="1:12" s="81" customFormat="1" ht="10.199999999999999" x14ac:dyDescent="0.25">
      <c r="A28" s="126">
        <f>'MM CALC'!A31</f>
        <v>3</v>
      </c>
      <c r="B28" s="126"/>
      <c r="C28" s="127"/>
      <c r="D28" s="128" t="str">
        <f>'MM CALC'!D31</f>
        <v>ALVENARIAS</v>
      </c>
      <c r="E28" s="129"/>
      <c r="F28" s="131"/>
      <c r="G28" s="130"/>
      <c r="H28" s="132"/>
      <c r="I28" s="162">
        <f>SUM(I29:I33)</f>
        <v>7751.6399999999994</v>
      </c>
      <c r="L28" s="82"/>
    </row>
    <row r="29" spans="1:12" s="20" customFormat="1" ht="20.399999999999999" x14ac:dyDescent="0.25">
      <c r="A29" s="19" t="str">
        <f>'MM CALC'!A32</f>
        <v>3.1</v>
      </c>
      <c r="B29" s="19" t="str">
        <f>'MM CALC'!B32</f>
        <v>SEINFRA</v>
      </c>
      <c r="C29" s="109" t="str">
        <f>'MM CALC'!C32</f>
        <v>ED-48232</v>
      </c>
      <c r="D29" s="110" t="str">
        <f>'MM CALC'!D32</f>
        <v>ALVENARIA DE VEDAÇÃO COM TIJOLO CERÂMICO FURADO, ESP. 14CM, PARA REVESTIMENTO, INCLUSIVE ARGAMASSA PARA ASSENTAMENTO</v>
      </c>
      <c r="E29" s="40" t="str">
        <f>'MM CALC'!E32</f>
        <v>m²</v>
      </c>
      <c r="F29" s="40">
        <f>'MM CALC'!F32</f>
        <v>85.555000000000007</v>
      </c>
      <c r="G29" s="111">
        <v>61.29</v>
      </c>
      <c r="H29" s="112">
        <f t="shared" si="4"/>
        <v>78.95</v>
      </c>
      <c r="I29" s="112">
        <f t="shared" ref="I29:I33" si="5">ROUND((F29*H29),2)</f>
        <v>6754.57</v>
      </c>
      <c r="L29" s="47"/>
    </row>
    <row r="30" spans="1:12" s="20" customFormat="1" ht="20.399999999999999" x14ac:dyDescent="0.25">
      <c r="A30" s="19" t="str">
        <f>'MM CALC'!A33</f>
        <v>3.2</v>
      </c>
      <c r="B30" s="19" t="str">
        <f>'MM CALC'!B33</f>
        <v>SEINFRA</v>
      </c>
      <c r="C30" s="109" t="str">
        <f>'MM CALC'!C33</f>
        <v>ED-14397</v>
      </c>
      <c r="D30" s="110" t="str">
        <f>'MM CALC'!D33</f>
        <v>FORNECIMENTO DE ANDAIME EM CAVALETE METÁLICO PARA ALVENARIA, COM REAPROVEITAMENTO, INCLUSIVE MONTAGEM/DESMONTAGEM</v>
      </c>
      <c r="E30" s="40" t="str">
        <f>'MM CALC'!E33</f>
        <v>m²</v>
      </c>
      <c r="F30" s="40">
        <f>'MM CALC'!F33</f>
        <v>40.200000000000003</v>
      </c>
      <c r="G30" s="111">
        <v>1.1599999999999999</v>
      </c>
      <c r="H30" s="112">
        <f t="shared" ref="H30" si="6">ROUND((G30*(1+$H$10)),2)</f>
        <v>1.49</v>
      </c>
      <c r="I30" s="112">
        <f t="shared" ref="I30" si="7">ROUND((F30*H30),2)</f>
        <v>59.9</v>
      </c>
      <c r="L30" s="47"/>
    </row>
    <row r="31" spans="1:12" s="20" customFormat="1" ht="20.399999999999999" x14ac:dyDescent="0.25">
      <c r="A31" s="19" t="str">
        <f>'MM CALC'!A34</f>
        <v>3.3</v>
      </c>
      <c r="B31" s="19" t="str">
        <f>'MM CALC'!B34</f>
        <v>SINAPI</v>
      </c>
      <c r="C31" s="109">
        <f>'MM CALC'!C34</f>
        <v>93186</v>
      </c>
      <c r="D31" s="110" t="str">
        <f>'MM CALC'!D34</f>
        <v>VERGA MOLDADA IN LOCO EM CONCRETO PARA JANELAS COM ATÉ 1,5 M DE VÃO. AF_03/2016</v>
      </c>
      <c r="E31" s="40" t="str">
        <f>'MM CALC'!E34</f>
        <v>m</v>
      </c>
      <c r="F31" s="40">
        <f>'MM CALC'!F34</f>
        <v>2.6</v>
      </c>
      <c r="G31" s="111">
        <v>118.23</v>
      </c>
      <c r="H31" s="112">
        <f t="shared" si="4"/>
        <v>152.30000000000001</v>
      </c>
      <c r="I31" s="112">
        <f t="shared" si="5"/>
        <v>395.98</v>
      </c>
      <c r="L31" s="47"/>
    </row>
    <row r="32" spans="1:12" s="20" customFormat="1" ht="20.399999999999999" x14ac:dyDescent="0.25">
      <c r="A32" s="19" t="str">
        <f>'MM CALC'!A35</f>
        <v>3.4</v>
      </c>
      <c r="B32" s="19" t="str">
        <f>'MM CALC'!B35</f>
        <v>SINAPI</v>
      </c>
      <c r="C32" s="109">
        <f>'MM CALC'!C35</f>
        <v>93196</v>
      </c>
      <c r="D32" s="110" t="str">
        <f>'MM CALC'!D35</f>
        <v>CONTRAVERGA MOLDADA IN LOCO EM CONCRETO PARA VÃOS DE ATÉ 1,5 M DE COMPRIMENTO. AF_03/2016</v>
      </c>
      <c r="E32" s="40" t="str">
        <f>'MM CALC'!E35</f>
        <v>m</v>
      </c>
      <c r="F32" s="40">
        <f>'MM CALC'!F35</f>
        <v>2.6</v>
      </c>
      <c r="G32" s="111">
        <v>115.22</v>
      </c>
      <c r="H32" s="112">
        <f t="shared" si="4"/>
        <v>148.43</v>
      </c>
      <c r="I32" s="112">
        <f t="shared" si="5"/>
        <v>385.92</v>
      </c>
      <c r="L32" s="47"/>
    </row>
    <row r="33" spans="1:12" s="20" customFormat="1" ht="20.399999999999999" x14ac:dyDescent="0.25">
      <c r="A33" s="19" t="str">
        <f>'MM CALC'!A36</f>
        <v>3.5</v>
      </c>
      <c r="B33" s="19" t="s">
        <v>25</v>
      </c>
      <c r="C33" s="109" t="str">
        <f>'MM CALC'!C36</f>
        <v>ED-48436</v>
      </c>
      <c r="D33" s="110" t="str">
        <f>'MM CALC'!D36</f>
        <v>DEMOLIÇÃO DE ALVENARIA DE TIJOLO CERÂMICO SEM APROVEITAMENTO DO MATERIAL, INCLUSIVE AFASTAMENTO</v>
      </c>
      <c r="E33" s="40" t="str">
        <f>'MM CALC'!E36</f>
        <v>m³</v>
      </c>
      <c r="F33" s="40">
        <f>'MM CALC'!F36</f>
        <v>1.089</v>
      </c>
      <c r="G33" s="111">
        <v>110.68</v>
      </c>
      <c r="H33" s="112">
        <f t="shared" si="4"/>
        <v>142.58000000000001</v>
      </c>
      <c r="I33" s="112">
        <f t="shared" si="5"/>
        <v>155.27000000000001</v>
      </c>
      <c r="L33" s="47"/>
    </row>
    <row r="34" spans="1:12" s="81" customFormat="1" ht="10.199999999999999" x14ac:dyDescent="0.25">
      <c r="A34" s="126">
        <f>'MM CALC'!A37</f>
        <v>4</v>
      </c>
      <c r="B34" s="126"/>
      <c r="C34" s="127"/>
      <c r="D34" s="128" t="str">
        <f>'MM CALC'!D37</f>
        <v>JANELAS</v>
      </c>
      <c r="E34" s="129"/>
      <c r="F34" s="129"/>
      <c r="G34" s="130"/>
      <c r="H34" s="130"/>
      <c r="I34" s="164">
        <f>SUM(I35)</f>
        <v>748.65</v>
      </c>
      <c r="L34" s="82"/>
    </row>
    <row r="35" spans="1:12" s="20" customFormat="1" ht="40.799999999999997" x14ac:dyDescent="0.25">
      <c r="A35" s="19" t="str">
        <f>'MM CALC'!A38</f>
        <v>4.1</v>
      </c>
      <c r="B35" s="19" t="str">
        <f>'MM CALC'!B38</f>
        <v>SEINFRA</v>
      </c>
      <c r="C35" s="109" t="str">
        <f>'MM CALC'!C38</f>
        <v>ED-50964</v>
      </c>
      <c r="D35" s="110" t="str">
        <f>'MM CALC'!D38</f>
        <v>FORNECIMENTO E ASSENTAMENTO DE JANELA DE ALUMÍNIO, LINHA SUPREMA ACABAMENTO ANODIZADO, TIPO MAXIM-AR COM CONTRAMARCO, INCLUSIVE FORNECIMENTO DE VIDRO LISO DE 4MM, FERRAGENS E ACESSÓRIOS</v>
      </c>
      <c r="E35" s="40" t="str">
        <f>'MM CALC'!E38</f>
        <v>m²</v>
      </c>
      <c r="F35" s="40">
        <f>'MM CALC'!F38</f>
        <v>0.8</v>
      </c>
      <c r="G35" s="111">
        <v>726.45</v>
      </c>
      <c r="H35" s="112">
        <f t="shared" ref="H35:H37" si="8">ROUND((G35*(1+$H$10)),2)</f>
        <v>935.81</v>
      </c>
      <c r="I35" s="112">
        <f t="shared" ref="I35:I37" si="9">ROUND((F35*H35),2)</f>
        <v>748.65</v>
      </c>
      <c r="L35" s="47"/>
    </row>
    <row r="36" spans="1:12" s="20" customFormat="1" ht="10.199999999999999" x14ac:dyDescent="0.25">
      <c r="A36" s="161">
        <f>'MM CALC'!A39</f>
        <v>5</v>
      </c>
      <c r="B36" s="155"/>
      <c r="C36" s="156"/>
      <c r="D36" s="157" t="str">
        <f>'MM CALC'!D39</f>
        <v>SERRALHERIA</v>
      </c>
      <c r="E36" s="158"/>
      <c r="F36" s="158"/>
      <c r="G36" s="159"/>
      <c r="H36" s="160"/>
      <c r="I36" s="165">
        <f>SUM(I37)</f>
        <v>1927.41</v>
      </c>
      <c r="L36" s="47"/>
    </row>
    <row r="37" spans="1:12" s="20" customFormat="1" ht="10.199999999999999" x14ac:dyDescent="0.25">
      <c r="A37" s="19" t="str">
        <f>'MM CALC'!A40</f>
        <v>5.1</v>
      </c>
      <c r="B37" s="19" t="str">
        <f>'MM CALC'!B40</f>
        <v>SEINFRA</v>
      </c>
      <c r="C37" s="109" t="str">
        <f>'MM CALC'!C40</f>
        <v>ED-50948</v>
      </c>
      <c r="D37" s="110" t="str">
        <f>'MM CALC'!D40</f>
        <v>ESCADA MARINHEIRO COM GRADIL PROTETOR - D = 3/4"</v>
      </c>
      <c r="E37" s="40" t="str">
        <f>'MM CALC'!E40</f>
        <v>m</v>
      </c>
      <c r="F37" s="40">
        <f>'MM CALC'!F40</f>
        <v>3.99</v>
      </c>
      <c r="G37" s="111">
        <v>374.99</v>
      </c>
      <c r="H37" s="112">
        <f t="shared" si="8"/>
        <v>483.06</v>
      </c>
      <c r="I37" s="112">
        <f t="shared" si="9"/>
        <v>1927.41</v>
      </c>
      <c r="L37" s="47"/>
    </row>
    <row r="38" spans="1:12" s="81" customFormat="1" ht="10.199999999999999" x14ac:dyDescent="0.25">
      <c r="A38" s="126">
        <f>'MM CALC'!A41</f>
        <v>6</v>
      </c>
      <c r="B38" s="126"/>
      <c r="C38" s="127"/>
      <c r="D38" s="128" t="str">
        <f>'MM CALC'!D41</f>
        <v>PISOS</v>
      </c>
      <c r="E38" s="129"/>
      <c r="F38" s="129"/>
      <c r="G38" s="130"/>
      <c r="H38" s="132"/>
      <c r="I38" s="164">
        <f>SUM(I39:I45)</f>
        <v>4752.78</v>
      </c>
      <c r="L38" s="82"/>
    </row>
    <row r="39" spans="1:12" s="81" customFormat="1" ht="10.199999999999999" x14ac:dyDescent="0.25">
      <c r="A39" s="19" t="str">
        <f>'MM CALC'!A42</f>
        <v>6.1</v>
      </c>
      <c r="B39" s="19" t="str">
        <f>'MM CALC'!B42</f>
        <v>SEINFRA</v>
      </c>
      <c r="C39" s="109" t="str">
        <f>'MM CALC'!C42</f>
        <v>ED-51123</v>
      </c>
      <c r="D39" s="110" t="str">
        <f>'MM CALC'!D42</f>
        <v>REGULARIZAÇÃO E COMPACTAÇÃO DE TERRENO COM PLACA VIBRATÓRIA</v>
      </c>
      <c r="E39" s="40" t="str">
        <f>'MM CALC'!E42</f>
        <v>m²</v>
      </c>
      <c r="F39" s="40">
        <f>'MM CALC'!F42</f>
        <v>23.38</v>
      </c>
      <c r="G39" s="111">
        <v>4.1399999999999997</v>
      </c>
      <c r="H39" s="112">
        <f t="shared" ref="H39" si="10">ROUND((G39*(1+$H$10)),2)</f>
        <v>5.33</v>
      </c>
      <c r="I39" s="112">
        <f t="shared" ref="I39" si="11">ROUND((F39*H39),2)</f>
        <v>124.62</v>
      </c>
      <c r="L39" s="82"/>
    </row>
    <row r="40" spans="1:12" s="20" customFormat="1" ht="10.199999999999999" x14ac:dyDescent="0.25">
      <c r="A40" s="19" t="str">
        <f>'MM CALC'!A43</f>
        <v>6.2</v>
      </c>
      <c r="B40" s="19" t="s">
        <v>93</v>
      </c>
      <c r="C40" s="109" t="str">
        <f>'MM CALC'!C43</f>
        <v>ED-49813</v>
      </c>
      <c r="D40" s="125" t="str">
        <f>'MM CALC'!D43</f>
        <v>LASTRO DE BRITA 2 OU 3 APILOADO MANUALMENTE</v>
      </c>
      <c r="E40" s="40" t="str">
        <f>'MM CALC'!E43</f>
        <v>m³</v>
      </c>
      <c r="F40" s="40">
        <f>'MM CALC'!F43</f>
        <v>1.169</v>
      </c>
      <c r="G40" s="111">
        <v>134.99</v>
      </c>
      <c r="H40" s="112">
        <f t="shared" ref="H40:H41" si="12">ROUND((G40*(1+$H$10)),2)</f>
        <v>173.89</v>
      </c>
      <c r="I40" s="112">
        <f t="shared" ref="I40:I41" si="13">ROUND((F40*H40),2)</f>
        <v>203.28</v>
      </c>
      <c r="L40" s="47"/>
    </row>
    <row r="41" spans="1:12" s="20" customFormat="1" ht="20.399999999999999" x14ac:dyDescent="0.25">
      <c r="A41" s="19" t="str">
        <f>'MM CALC'!A44</f>
        <v>6.3</v>
      </c>
      <c r="B41" s="19" t="s">
        <v>93</v>
      </c>
      <c r="C41" s="109" t="str">
        <f>'MM CALC'!C44</f>
        <v>ED-50600</v>
      </c>
      <c r="D41" s="125" t="str">
        <f>'MM CALC'!D44</f>
        <v>APLICAÇÃO DE LONA PRETA, ESP. 150 MICRAS, INCLUSIVE FORNECIMENTO</v>
      </c>
      <c r="E41" s="40" t="str">
        <f>'MM CALC'!E44</f>
        <v>m²</v>
      </c>
      <c r="F41" s="40">
        <f>'MM CALC'!F44</f>
        <v>23.38</v>
      </c>
      <c r="G41" s="111">
        <v>2.5099999999999998</v>
      </c>
      <c r="H41" s="112">
        <f t="shared" si="12"/>
        <v>3.23</v>
      </c>
      <c r="I41" s="112">
        <f t="shared" si="13"/>
        <v>75.52</v>
      </c>
      <c r="L41" s="47"/>
    </row>
    <row r="42" spans="1:12" s="20" customFormat="1" ht="30.6" x14ac:dyDescent="0.25">
      <c r="A42" s="19" t="str">
        <f>'MM CALC'!A45</f>
        <v>6.4</v>
      </c>
      <c r="B42" s="19" t="s">
        <v>93</v>
      </c>
      <c r="C42" s="109">
        <f>'MM CALC'!C45</f>
        <v>94994</v>
      </c>
      <c r="D42" s="125" t="str">
        <f>'MM CALC'!D45</f>
        <v>EXECUÇÃO DE PASSEIO (CALÇADA) OU PISO DE CONCRETO COM CONCRETO MOLDADO IN LOCO, FEITO EM OBRA, ACABAMENTO CONVENCIONAL, ESPESSURA 8 CM, ARMADO. AF_08/2022</v>
      </c>
      <c r="E42" s="40" t="str">
        <f>'MM CALC'!E45</f>
        <v>m²</v>
      </c>
      <c r="F42" s="40">
        <f>'MM CALC'!F45</f>
        <v>23.38</v>
      </c>
      <c r="G42" s="111">
        <v>101.6</v>
      </c>
      <c r="H42" s="112">
        <f t="shared" ref="H42" si="14">ROUND((G42*(1+$H$10)),2)</f>
        <v>130.88</v>
      </c>
      <c r="I42" s="112">
        <f t="shared" ref="I42" si="15">ROUND((F42*H42),2)</f>
        <v>3059.97</v>
      </c>
      <c r="L42" s="47"/>
    </row>
    <row r="43" spans="1:12" s="20" customFormat="1" ht="20.399999999999999" x14ac:dyDescent="0.25">
      <c r="A43" s="19" t="str">
        <f>'MM CALC'!A46</f>
        <v>6.5</v>
      </c>
      <c r="B43" s="19" t="str">
        <f>'MM CALC'!B46</f>
        <v>SEINFRA</v>
      </c>
      <c r="C43" s="109" t="str">
        <f>'MM CALC'!C46</f>
        <v>ED-50566</v>
      </c>
      <c r="D43" s="110" t="str">
        <f>'MM CALC'!D46</f>
        <v xml:space="preserve">CONTRAPISO DESEMPENADO COM ARGAMASSA, TRAÇO 1:3 (CIMENTO E AREIA), ESP. 20MM </v>
      </c>
      <c r="E43" s="40" t="str">
        <f>'MM CALC'!E46</f>
        <v>m²</v>
      </c>
      <c r="F43" s="40">
        <f>'MM CALC'!F46</f>
        <v>23.38</v>
      </c>
      <c r="G43" s="111">
        <v>29.43</v>
      </c>
      <c r="H43" s="112">
        <f t="shared" ref="H43" si="16">ROUND((G43*(1+$H$10)),2)</f>
        <v>37.909999999999997</v>
      </c>
      <c r="I43" s="112">
        <f t="shared" ref="I43" si="17">ROUND((F43*H43),2)</f>
        <v>886.34</v>
      </c>
      <c r="L43" s="47"/>
    </row>
    <row r="44" spans="1:12" s="20" customFormat="1" ht="10.199999999999999" x14ac:dyDescent="0.25">
      <c r="A44" s="19" t="str">
        <f>'MM CALC'!A47</f>
        <v>6.6</v>
      </c>
      <c r="B44" s="19" t="str">
        <f>'MM CALC'!B47</f>
        <v>SEINFRA</v>
      </c>
      <c r="C44" s="109" t="str">
        <f>'MM CALC'!C47</f>
        <v>ED-48440</v>
      </c>
      <c r="D44" s="110" t="str">
        <f>'MM CALC'!D47</f>
        <v>DEMOLIÇÃO DE CONCRETO SIMPLES-MANUAL, INCLUSIVE AFASTAMENTO</v>
      </c>
      <c r="E44" s="40" t="str">
        <f>'MM CALC'!E47</f>
        <v>m³</v>
      </c>
      <c r="F44" s="40">
        <f>'MM CALC'!F47</f>
        <v>0.21299999999999999</v>
      </c>
      <c r="G44" s="111">
        <v>239.81</v>
      </c>
      <c r="H44" s="112">
        <f t="shared" ref="H44:H45" si="18">ROUND((G44*(1+$H$10)),2)</f>
        <v>308.92</v>
      </c>
      <c r="I44" s="112">
        <f t="shared" ref="I44:I45" si="19">ROUND((F44*H44),2)</f>
        <v>65.8</v>
      </c>
      <c r="L44" s="47"/>
    </row>
    <row r="45" spans="1:12" s="20" customFormat="1" ht="10.199999999999999" x14ac:dyDescent="0.25">
      <c r="A45" s="19" t="str">
        <f>'MM CALC'!A48</f>
        <v>6.7</v>
      </c>
      <c r="B45" s="19" t="str">
        <f>'MM CALC'!B48</f>
        <v>SEINFRA</v>
      </c>
      <c r="C45" s="109" t="str">
        <f>'MM CALC'!C48</f>
        <v>ED-51145</v>
      </c>
      <c r="D45" s="110" t="str">
        <f>'MM CALC'!D48</f>
        <v>PASSEIOS DE CONCRETO E = 6 CM, FCK = 10 MPA, JUNTA SECA</v>
      </c>
      <c r="E45" s="40" t="str">
        <f>'MM CALC'!E48</f>
        <v>m²</v>
      </c>
      <c r="F45" s="40">
        <f>'MM CALC'!F48</f>
        <v>5</v>
      </c>
      <c r="G45" s="111">
        <v>52.36</v>
      </c>
      <c r="H45" s="112">
        <f t="shared" si="18"/>
        <v>67.45</v>
      </c>
      <c r="I45" s="112">
        <f t="shared" si="19"/>
        <v>337.25</v>
      </c>
      <c r="L45" s="47"/>
    </row>
    <row r="46" spans="1:12" s="81" customFormat="1" ht="10.199999999999999" x14ac:dyDescent="0.25">
      <c r="A46" s="126">
        <f>'MM CALC'!A49</f>
        <v>7</v>
      </c>
      <c r="B46" s="126"/>
      <c r="C46" s="127"/>
      <c r="D46" s="128" t="str">
        <f>'MM CALC'!D49</f>
        <v>REVESTIMENTOS</v>
      </c>
      <c r="E46" s="129"/>
      <c r="F46" s="129"/>
      <c r="G46" s="130"/>
      <c r="H46" s="132"/>
      <c r="I46" s="162">
        <f>SUM(I47:I62)</f>
        <v>22617.720000000005</v>
      </c>
      <c r="L46" s="82"/>
    </row>
    <row r="47" spans="1:12" s="20" customFormat="1" ht="30.6" x14ac:dyDescent="0.25">
      <c r="A47" s="19" t="str">
        <f>'MM CALC'!A50</f>
        <v>7.1</v>
      </c>
      <c r="B47" s="19" t="str">
        <f>'MM CALC'!B50</f>
        <v>SEINFRA</v>
      </c>
      <c r="C47" s="109" t="str">
        <f>'MM CALC'!C50</f>
        <v>ED-50727</v>
      </c>
      <c r="D47" s="110" t="str">
        <f>'MM CALC'!D50</f>
        <v>CHAPISCO COM ARGAMASSA, TRAÇO 1:3 (CIMENTO E AREIA), ESP. 5MM, APLICADO EM ALVENARIA/ESTRUTURA DE CONCRETO COM COLHER, PREPARO MECÂNICO</v>
      </c>
      <c r="E47" s="40" t="str">
        <f>'MM CALC'!E50</f>
        <v>m²</v>
      </c>
      <c r="F47" s="40">
        <f>'MM CALC'!F50</f>
        <v>181.25000000000003</v>
      </c>
      <c r="G47" s="111">
        <v>7.54</v>
      </c>
      <c r="H47" s="112">
        <f t="shared" ref="H47:H49" si="20">ROUND((G47*(1+$H$10)),2)</f>
        <v>9.7100000000000009</v>
      </c>
      <c r="I47" s="112">
        <f t="shared" ref="I47:I49" si="21">ROUND((F47*H47),2)</f>
        <v>1759.94</v>
      </c>
      <c r="L47" s="47"/>
    </row>
    <row r="48" spans="1:12" s="20" customFormat="1" ht="30.6" x14ac:dyDescent="0.25">
      <c r="A48" s="19" t="str">
        <f>'MM CALC'!A51</f>
        <v>7.2</v>
      </c>
      <c r="B48" s="19" t="str">
        <f>'MM CALC'!B51</f>
        <v>SEINFRA</v>
      </c>
      <c r="C48" s="109" t="str">
        <f>'MM CALC'!C51</f>
        <v>ED-50762</v>
      </c>
      <c r="D48" s="110" t="str">
        <f>'MM CALC'!D51</f>
        <v>REVESTIMENTO COM ARGAMASSA EM CAMADA ÚNICA, APLICADO EM PAREDE, TRAÇO 1:3 (CIMENTO E AREIA), ESP. 20MM, APLICAÇÃO MANUAL, PREPARO MECÂNICO</v>
      </c>
      <c r="E48" s="40" t="str">
        <f>'MM CALC'!E51</f>
        <v>m²</v>
      </c>
      <c r="F48" s="40">
        <f>'MM CALC'!F51</f>
        <v>181.25000000000003</v>
      </c>
      <c r="G48" s="111">
        <v>25.71</v>
      </c>
      <c r="H48" s="112">
        <f t="shared" si="20"/>
        <v>33.119999999999997</v>
      </c>
      <c r="I48" s="112">
        <f t="shared" si="21"/>
        <v>6003</v>
      </c>
      <c r="L48" s="47"/>
    </row>
    <row r="49" spans="1:12" s="20" customFormat="1" ht="40.799999999999997" x14ac:dyDescent="0.25">
      <c r="A49" s="19" t="str">
        <f>'MM CALC'!A52</f>
        <v>7.3</v>
      </c>
      <c r="B49" s="19" t="str">
        <f>'MM CALC'!B52</f>
        <v>SEINFRA</v>
      </c>
      <c r="C49" s="109" t="str">
        <f>'MM CALC'!C52</f>
        <v>ED-50753</v>
      </c>
      <c r="D49" s="110" t="str">
        <f>'MM CALC'!D52</f>
        <v>REVESTIMENTO COM PORCELANATO APLICADO EM PISO, ACABAMENTO ESMALTADO ACETINADO, AMBIENTE INTERNO/EXTERNO, PADRÃO EXTRA, BORDA RETIFICADA, DIMENSÃO DA PEÇA (45X45CM), ASSENTAMENTO COM ARGAMASSA INDUSTRIALIZADA, INCLUSIVE REJUNTAMENTO</v>
      </c>
      <c r="E49" s="40" t="str">
        <f>'MM CALC'!E52</f>
        <v>m²</v>
      </c>
      <c r="F49" s="40">
        <f>'MM CALC'!F52</f>
        <v>23.38</v>
      </c>
      <c r="G49" s="111">
        <v>135.75</v>
      </c>
      <c r="H49" s="112">
        <f t="shared" si="20"/>
        <v>174.87</v>
      </c>
      <c r="I49" s="112">
        <f t="shared" si="21"/>
        <v>4088.46</v>
      </c>
      <c r="L49" s="47"/>
    </row>
    <row r="50" spans="1:12" s="20" customFormat="1" ht="10.199999999999999" x14ac:dyDescent="0.25">
      <c r="A50" s="19" t="str">
        <f>'MM CALC'!A53</f>
        <v>7.4</v>
      </c>
      <c r="B50" s="19" t="str">
        <f>'MM CALC'!B53</f>
        <v>SEINFRA</v>
      </c>
      <c r="C50" s="109" t="str">
        <f>'MM CALC'!C53</f>
        <v>ED-49687</v>
      </c>
      <c r="D50" s="110" t="str">
        <f>'MM CALC'!D53</f>
        <v xml:space="preserve">FORRO DE GESSO EM PLACAS ACARTONADAS - FGA </v>
      </c>
      <c r="E50" s="40" t="str">
        <f>'MM CALC'!E53</f>
        <v>m²</v>
      </c>
      <c r="F50" s="40">
        <f>'MM CALC'!F53</f>
        <v>23.38</v>
      </c>
      <c r="G50" s="111">
        <v>43.29</v>
      </c>
      <c r="H50" s="112">
        <f t="shared" ref="H50:H52" si="22">ROUND((G50*(1+$H$10)),2)</f>
        <v>55.77</v>
      </c>
      <c r="I50" s="112">
        <f t="shared" ref="I50:I52" si="23">ROUND((F50*H50),2)</f>
        <v>1303.9000000000001</v>
      </c>
      <c r="L50" s="47"/>
    </row>
    <row r="51" spans="1:12" s="20" customFormat="1" ht="10.199999999999999" x14ac:dyDescent="0.25">
      <c r="A51" s="19" t="str">
        <f>'MM CALC'!A54</f>
        <v>7.5</v>
      </c>
      <c r="B51" s="19" t="str">
        <f>'MM CALC'!B54</f>
        <v>COTAÇÃO</v>
      </c>
      <c r="C51" s="109">
        <f>'MM CALC'!C54</f>
        <v>1</v>
      </c>
      <c r="D51" s="110" t="str">
        <f>'MM CALC'!D54</f>
        <v>PERFIL TABICA 40X48MM - FORNECIMENTO E INSTALAÇÃO</v>
      </c>
      <c r="E51" s="40" t="str">
        <f>'MM CALC'!E54</f>
        <v>m</v>
      </c>
      <c r="F51" s="40">
        <f>'MM CALC'!F54</f>
        <v>21.9</v>
      </c>
      <c r="G51" s="111">
        <v>32.200000000000003</v>
      </c>
      <c r="H51" s="112">
        <f t="shared" ref="H51" si="24">ROUND((G51*(1+$H$10)),2)</f>
        <v>41.48</v>
      </c>
      <c r="I51" s="112">
        <f t="shared" ref="I51" si="25">ROUND((F51*H51),2)</f>
        <v>908.41</v>
      </c>
      <c r="L51" s="47"/>
    </row>
    <row r="52" spans="1:12" s="20" customFormat="1" ht="20.399999999999999" x14ac:dyDescent="0.25">
      <c r="A52" s="19" t="str">
        <f>'MM CALC'!A55</f>
        <v>7.6</v>
      </c>
      <c r="B52" s="19" t="str">
        <f>'MM CALC'!B55</f>
        <v>SEINFRA</v>
      </c>
      <c r="C52" s="109" t="str">
        <f>'MM CALC'!C55</f>
        <v>ED-48247</v>
      </c>
      <c r="D52" s="110" t="str">
        <f>'MM CALC'!D55</f>
        <v>CONSTRUÇÃO/MONTAGEM E DESMONTAGEM DE ANDAIME PARA REVESTIMENTO INTERNO DE FORROS</v>
      </c>
      <c r="E52" s="40" t="str">
        <f>'MM CALC'!E55</f>
        <v>m²</v>
      </c>
      <c r="F52" s="40">
        <f>'MM CALC'!F55</f>
        <v>23.38</v>
      </c>
      <c r="G52" s="111">
        <v>9.85</v>
      </c>
      <c r="H52" s="112">
        <f t="shared" si="22"/>
        <v>12.69</v>
      </c>
      <c r="I52" s="112">
        <f t="shared" si="23"/>
        <v>296.69</v>
      </c>
      <c r="L52" s="47"/>
    </row>
    <row r="53" spans="1:12" s="20" customFormat="1" ht="10.199999999999999" x14ac:dyDescent="0.25">
      <c r="A53" s="19" t="str">
        <f>'MM CALC'!A56</f>
        <v>7.7</v>
      </c>
      <c r="B53" s="19" t="str">
        <f>'MM CALC'!B56</f>
        <v>SEINFRA</v>
      </c>
      <c r="C53" s="109" t="str">
        <f>'MM CALC'!C56</f>
        <v>ED-50997</v>
      </c>
      <c r="D53" s="110" t="str">
        <f>'MM CALC'!D56</f>
        <v>PEITORIL DE GRANITO CINZA ANDORINHA E = 2 CM</v>
      </c>
      <c r="E53" s="40" t="str">
        <f>'MM CALC'!E56</f>
        <v>m²</v>
      </c>
      <c r="F53" s="40">
        <f>'MM CALC'!F56</f>
        <v>0.52</v>
      </c>
      <c r="G53" s="111">
        <v>216.7</v>
      </c>
      <c r="H53" s="112">
        <f t="shared" ref="H53" si="26">ROUND((G53*(1+$H$10)),2)</f>
        <v>279.14999999999998</v>
      </c>
      <c r="I53" s="112">
        <f t="shared" ref="I53" si="27">ROUND((F53*H53),2)</f>
        <v>145.16</v>
      </c>
      <c r="L53" s="47"/>
    </row>
    <row r="54" spans="1:12" s="20" customFormat="1" ht="10.199999999999999" x14ac:dyDescent="0.25">
      <c r="A54" s="19" t="str">
        <f>'MM CALC'!A57</f>
        <v>7.8</v>
      </c>
      <c r="B54" s="19" t="str">
        <f>'MM CALC'!B57</f>
        <v>SEINFRA</v>
      </c>
      <c r="C54" s="109" t="str">
        <f>'MM CALC'!C57</f>
        <v>ED-51002</v>
      </c>
      <c r="D54" s="110" t="str">
        <f>'MM CALC'!D57</f>
        <v>SOLEIRA DE GRANITO CINZA ANDORINHA E = 2 CM</v>
      </c>
      <c r="E54" s="40" t="str">
        <f>'MM CALC'!E57</f>
        <v>m²</v>
      </c>
      <c r="F54" s="40">
        <f>'MM CALC'!F57</f>
        <v>0.33</v>
      </c>
      <c r="G54" s="111">
        <v>264.48</v>
      </c>
      <c r="H54" s="112">
        <f t="shared" ref="H54" si="28">ROUND((G54*(1+$H$10)),2)</f>
        <v>340.7</v>
      </c>
      <c r="I54" s="112">
        <f t="shared" ref="I54" si="29">ROUND((F54*H54),2)</f>
        <v>112.43</v>
      </c>
      <c r="L54" s="47"/>
    </row>
    <row r="55" spans="1:12" s="20" customFormat="1" ht="30.6" x14ac:dyDescent="0.25">
      <c r="A55" s="19" t="str">
        <f>'MM CALC'!A58</f>
        <v>7.9</v>
      </c>
      <c r="B55" s="19" t="str">
        <f>'MM CALC'!B58</f>
        <v>SEINFRA</v>
      </c>
      <c r="C55" s="109" t="str">
        <f>'MM CALC'!C58</f>
        <v>ED-50516</v>
      </c>
      <c r="D55" s="110" t="str">
        <f>'MM CALC'!D58</f>
        <v>PREPARAÇÃO PARA EMASSAMENTO OU PINTURA (LÁTEX/ACRÍLICA) EM PAREDE DE GESSO ACARTONADO (DRY-WALL) E FORRO DE GESSO, INCLUSIVE UMA (1) DEMÃO DE SELADOR ACRÍLICO</v>
      </c>
      <c r="E55" s="40" t="str">
        <f>'MM CALC'!E58</f>
        <v>m²</v>
      </c>
      <c r="F55" s="40">
        <f>'MM CALC'!F58</f>
        <v>23.38</v>
      </c>
      <c r="G55" s="111">
        <v>4.7</v>
      </c>
      <c r="H55" s="112">
        <f t="shared" ref="H55:H61" si="30">ROUND((G55*(1+$H$10)),2)</f>
        <v>6.05</v>
      </c>
      <c r="I55" s="112">
        <f t="shared" ref="I55:I61" si="31">ROUND((F55*H55),2)</f>
        <v>141.44999999999999</v>
      </c>
      <c r="L55" s="47"/>
    </row>
    <row r="56" spans="1:12" s="20" customFormat="1" ht="20.399999999999999" x14ac:dyDescent="0.25">
      <c r="A56" s="19" t="str">
        <f>'MM CALC'!A59</f>
        <v>7.10</v>
      </c>
      <c r="B56" s="19" t="str">
        <f>'MM CALC'!B59</f>
        <v>SEINFRA</v>
      </c>
      <c r="C56" s="109" t="str">
        <f>'MM CALC'!C59</f>
        <v>ED-50514</v>
      </c>
      <c r="D56" s="110" t="str">
        <f>'MM CALC'!D59</f>
        <v>PREPARAÇÃO PARA EMASSAMENTO OU PINTURA (LÁTEX/ACRÍLICA) EM PAREDE, INCLUSIVE UMA (1) DEMÃO DE SELADOR ACRÍLICO</v>
      </c>
      <c r="E56" s="40" t="str">
        <f>'MM CALC'!E59</f>
        <v>m²</v>
      </c>
      <c r="F56" s="40">
        <f>'MM CALC'!F59</f>
        <v>181.25000000000003</v>
      </c>
      <c r="G56" s="111">
        <v>5.27</v>
      </c>
      <c r="H56" s="112">
        <f t="shared" si="30"/>
        <v>6.79</v>
      </c>
      <c r="I56" s="112">
        <f t="shared" si="31"/>
        <v>1230.69</v>
      </c>
      <c r="L56" s="47"/>
    </row>
    <row r="57" spans="1:12" s="20" customFormat="1" ht="20.399999999999999" x14ac:dyDescent="0.25">
      <c r="A57" s="19" t="str">
        <f>'MM CALC'!A60</f>
        <v>7.11</v>
      </c>
      <c r="B57" s="19" t="str">
        <f>'MM CALC'!B60</f>
        <v>SEINFRA</v>
      </c>
      <c r="C57" s="109" t="str">
        <f>'MM CALC'!C60</f>
        <v>ED-50485</v>
      </c>
      <c r="D57" s="110" t="str">
        <f>'MM CALC'!D60</f>
        <v xml:space="preserve">EMASSAMENTO EM FORRO DE GESSO COM MASSA ACRÍLICA, UMA (1) DEMÃO, INCLUSIVE LIXAMENTO PARA PINTURA </v>
      </c>
      <c r="E57" s="40" t="str">
        <f>'MM CALC'!E60</f>
        <v>m²</v>
      </c>
      <c r="F57" s="40">
        <f>'MM CALC'!F60</f>
        <v>23.38</v>
      </c>
      <c r="G57" s="111">
        <v>13.02</v>
      </c>
      <c r="H57" s="112">
        <f t="shared" si="30"/>
        <v>16.77</v>
      </c>
      <c r="I57" s="112">
        <f t="shared" si="31"/>
        <v>392.08</v>
      </c>
      <c r="L57" s="47"/>
    </row>
    <row r="58" spans="1:12" s="20" customFormat="1" ht="20.399999999999999" x14ac:dyDescent="0.25">
      <c r="A58" s="19" t="str">
        <f>'MM CALC'!A61</f>
        <v>7.12</v>
      </c>
      <c r="B58" s="19" t="str">
        <f>'MM CALC'!B61</f>
        <v>SEINFRA</v>
      </c>
      <c r="C58" s="109" t="str">
        <f>'MM CALC'!C61</f>
        <v>ED-50477</v>
      </c>
      <c r="D58" s="110" t="str">
        <f>'MM CALC'!D61</f>
        <v>EMASSAMENTO EM PAREDE COM MASSA CORRIDA (PVA), UMA (1) DEMÃO, INCLUSIVE LIXAMENTO PARA PINTURA</v>
      </c>
      <c r="E58" s="40" t="str">
        <f>'MM CALC'!E61</f>
        <v>m²</v>
      </c>
      <c r="F58" s="40">
        <f>'MM CALC'!F61</f>
        <v>69.550000000000011</v>
      </c>
      <c r="G58" s="111">
        <v>11.71</v>
      </c>
      <c r="H58" s="112">
        <f t="shared" si="30"/>
        <v>15.08</v>
      </c>
      <c r="I58" s="112">
        <f t="shared" si="31"/>
        <v>1048.81</v>
      </c>
      <c r="L58" s="47"/>
    </row>
    <row r="59" spans="1:12" s="20" customFormat="1" ht="20.399999999999999" x14ac:dyDescent="0.25">
      <c r="A59" s="19" t="str">
        <f>'MM CALC'!A62</f>
        <v>7.13</v>
      </c>
      <c r="B59" s="19" t="str">
        <f>'MM CALC'!B62</f>
        <v>SEINFRA</v>
      </c>
      <c r="C59" s="109" t="str">
        <f>'MM CALC'!C62</f>
        <v>ED-50473</v>
      </c>
      <c r="D59" s="110" t="str">
        <f>'MM CALC'!D62</f>
        <v>EMASSAMENTO EM PAREDE COM MASSA ACRÍLICA, UMA (1) DEMÃO, INCLUSIVE LIXAMENTO PARA PINTURA</v>
      </c>
      <c r="E59" s="40" t="str">
        <f>'MM CALC'!E62</f>
        <v>m²</v>
      </c>
      <c r="F59" s="40">
        <f>'MM CALC'!F62</f>
        <v>91.675000000000011</v>
      </c>
      <c r="G59" s="111">
        <v>11.71</v>
      </c>
      <c r="H59" s="112">
        <f t="shared" si="30"/>
        <v>15.08</v>
      </c>
      <c r="I59" s="112">
        <f t="shared" si="31"/>
        <v>1382.46</v>
      </c>
      <c r="L59" s="47"/>
    </row>
    <row r="60" spans="1:12" s="20" customFormat="1" ht="20.399999999999999" x14ac:dyDescent="0.25">
      <c r="A60" s="19" t="str">
        <f>'MM CALC'!A63</f>
        <v>7.14</v>
      </c>
      <c r="B60" s="19" t="str">
        <f>'MM CALC'!B63</f>
        <v>SEINFRA</v>
      </c>
      <c r="C60" s="109" t="str">
        <f>'MM CALC'!C63</f>
        <v>ED-50452</v>
      </c>
      <c r="D60" s="110" t="str">
        <f>'MM CALC'!D63</f>
        <v>PINTURA ACRÍLICA EM TETO, DUAS (2) DEMÃOS, EXCLUSIVE SELADOR ACRÍLICO E MASSA ACRÍLICA/CORRIDA (PVA)</v>
      </c>
      <c r="E60" s="40" t="str">
        <f>'MM CALC'!E63</f>
        <v>m²</v>
      </c>
      <c r="F60" s="40">
        <f>'MM CALC'!F63</f>
        <v>23.38</v>
      </c>
      <c r="G60" s="111">
        <v>14.36</v>
      </c>
      <c r="H60" s="112">
        <f t="shared" si="30"/>
        <v>18.5</v>
      </c>
      <c r="I60" s="112">
        <f t="shared" si="31"/>
        <v>432.53</v>
      </c>
      <c r="L60" s="47"/>
    </row>
    <row r="61" spans="1:12" s="20" customFormat="1" ht="20.399999999999999" x14ac:dyDescent="0.25">
      <c r="A61" s="19" t="str">
        <f>'MM CALC'!A64</f>
        <v>7.15</v>
      </c>
      <c r="B61" s="19" t="str">
        <f>'MM CALC'!B64</f>
        <v>SEINFRA</v>
      </c>
      <c r="C61" s="109" t="str">
        <f>'MM CALC'!C64</f>
        <v>ED-50451</v>
      </c>
      <c r="D61" s="110" t="str">
        <f>'MM CALC'!D64</f>
        <v>PINTURA ACRÍLICA EM PAREDE, DUAS (2) DEMÃOS, EXCLUSIVE SELADOR ACRÍLICO E MASSA ACRÍLICA/CORRIDA (PVA)</v>
      </c>
      <c r="E61" s="40" t="str">
        <f>'MM CALC'!E64</f>
        <v>m²</v>
      </c>
      <c r="F61" s="40">
        <f>'MM CALC'!F64</f>
        <v>181.25000000000003</v>
      </c>
      <c r="G61" s="111">
        <v>13.02</v>
      </c>
      <c r="H61" s="112">
        <f t="shared" si="30"/>
        <v>16.77</v>
      </c>
      <c r="I61" s="112">
        <f t="shared" si="31"/>
        <v>3039.56</v>
      </c>
      <c r="L61" s="47"/>
    </row>
    <row r="62" spans="1:12" s="20" customFormat="1" ht="20.399999999999999" x14ac:dyDescent="0.25">
      <c r="A62" s="19" t="str">
        <f>'MM CALC'!A65</f>
        <v>7.16</v>
      </c>
      <c r="B62" s="19" t="str">
        <f>'MM CALC'!B65</f>
        <v>SEINFRA</v>
      </c>
      <c r="C62" s="109" t="str">
        <f>'MM CALC'!C65</f>
        <v>ED-50496</v>
      </c>
      <c r="D62" s="110" t="str">
        <f>'MM CALC'!D65</f>
        <v>PINTURA ESMALTE EM TUBO GALVANIZADO, DUAS (2) DEMÃOS, INCLUSIVE UMA (1) DEMÃO DE FUNDO ANTICORROSIVO</v>
      </c>
      <c r="E62" s="40" t="str">
        <f>'MM CALC'!E65</f>
        <v>m</v>
      </c>
      <c r="F62" s="40">
        <f>'MM CALC'!F65</f>
        <v>13.48</v>
      </c>
      <c r="G62" s="111">
        <v>19.13</v>
      </c>
      <c r="H62" s="112">
        <f t="shared" ref="H62" si="32">ROUND((G62*(1+$H$10)),2)</f>
        <v>24.64</v>
      </c>
      <c r="I62" s="112">
        <f t="shared" ref="I62" si="33">ROUND((F62*H62),2)</f>
        <v>332.15</v>
      </c>
      <c r="L62" s="47"/>
    </row>
    <row r="63" spans="1:12" s="81" customFormat="1" ht="10.199999999999999" x14ac:dyDescent="0.25">
      <c r="A63" s="126">
        <f>'MM CALC'!A66</f>
        <v>8</v>
      </c>
      <c r="B63" s="126"/>
      <c r="C63" s="127"/>
      <c r="D63" s="128" t="str">
        <f>'MM CALC'!D66</f>
        <v>INSTALAÇÕES ELÉTRICAS</v>
      </c>
      <c r="E63" s="129"/>
      <c r="F63" s="131"/>
      <c r="G63" s="130"/>
      <c r="H63" s="132"/>
      <c r="I63" s="164">
        <f>SUM(I64:I79)</f>
        <v>3686.67</v>
      </c>
      <c r="L63" s="82"/>
    </row>
    <row r="64" spans="1:12" s="81" customFormat="1" ht="30.6" x14ac:dyDescent="0.25">
      <c r="A64" s="109" t="str">
        <f>'MM CALC'!A67</f>
        <v>8.1</v>
      </c>
      <c r="B64" s="109" t="str">
        <f>'MM CALC'!B67</f>
        <v>SEINFRA</v>
      </c>
      <c r="C64" s="109" t="str">
        <f>'MM CALC'!C67</f>
        <v>ED-9974</v>
      </c>
      <c r="D64" s="110" t="str">
        <f>'MM CALC'!D67</f>
        <v>LÂMPADA TUBULAR LED, BASE G13, POTÊNCIA 40W, DIÂMETRO 26MM/T8, TEMPERATURA DA COR 6500K, FORNECIMENTO E INSTALAÇÃO, EXCLUSIVE LUMINÁRIA</v>
      </c>
      <c r="E64" s="40" t="str">
        <f>'MM CALC'!E67</f>
        <v>un</v>
      </c>
      <c r="F64" s="40">
        <f>'MM CALC'!F67</f>
        <v>4</v>
      </c>
      <c r="G64" s="111">
        <v>78.930000000000007</v>
      </c>
      <c r="H64" s="112">
        <f t="shared" ref="H64" si="34">ROUND((G64*(1+$H$10)),2)</f>
        <v>101.68</v>
      </c>
      <c r="I64" s="112">
        <f t="shared" ref="I64" si="35">ROUND((F64*H64),2)</f>
        <v>406.72</v>
      </c>
      <c r="J64" s="20"/>
      <c r="L64" s="82"/>
    </row>
    <row r="65" spans="1:12" s="81" customFormat="1" ht="30.6" x14ac:dyDescent="0.25">
      <c r="A65" s="109" t="str">
        <f>'MM CALC'!A68</f>
        <v>8.2</v>
      </c>
      <c r="B65" s="109" t="str">
        <f>'MM CALC'!B68</f>
        <v>SEINFRA</v>
      </c>
      <c r="C65" s="109" t="str">
        <f>'MM CALC'!C68</f>
        <v>ED-49520</v>
      </c>
      <c r="D65" s="110" t="str">
        <f>'MM CALC'!D68</f>
        <v>REATOR ELETRÔNICO, ALTO FATOR DE POTÊNCIA (A.F.P), PARTIDA RÁPIDA, PARA DUAS (2) LÂMPADAS TUBULARES, POTÊNCIA 40W, FORNECIMENTO E INSTALAÇÃO</v>
      </c>
      <c r="E65" s="40" t="str">
        <f>'MM CALC'!E68</f>
        <v>un</v>
      </c>
      <c r="F65" s="40">
        <f>'MM CALC'!F68</f>
        <v>2</v>
      </c>
      <c r="G65" s="111">
        <v>36.479999999999997</v>
      </c>
      <c r="H65" s="112">
        <f t="shared" ref="H65" si="36">ROUND((G65*(1+$H$10)),2)</f>
        <v>46.99</v>
      </c>
      <c r="I65" s="112">
        <f t="shared" ref="I65" si="37">ROUND((F65*H65),2)</f>
        <v>93.98</v>
      </c>
      <c r="L65" s="82"/>
    </row>
    <row r="66" spans="1:12" s="81" customFormat="1" ht="10.199999999999999" x14ac:dyDescent="0.25">
      <c r="A66" s="109" t="str">
        <f>'MM CALC'!A69</f>
        <v>8.3</v>
      </c>
      <c r="B66" s="109" t="str">
        <f>'MM CALC'!B69</f>
        <v>SEINFRA</v>
      </c>
      <c r="C66" s="109" t="str">
        <f>'MM CALC'!C69</f>
        <v>ED-50721</v>
      </c>
      <c r="D66" s="110" t="str">
        <f>'MM CALC'!D69</f>
        <v>CANTONEIRA DE ALUMÍNIO PARA ACABAMENTO DE QUINAS</v>
      </c>
      <c r="E66" s="40" t="str">
        <f>'MM CALC'!E69</f>
        <v>m</v>
      </c>
      <c r="F66" s="40">
        <f>'MM CALC'!F69</f>
        <v>9.1999999999999993</v>
      </c>
      <c r="G66" s="111">
        <v>19.32</v>
      </c>
      <c r="H66" s="112">
        <f t="shared" ref="H66" si="38">ROUND((G66*(1+$H$10)),2)</f>
        <v>24.89</v>
      </c>
      <c r="I66" s="112">
        <f t="shared" ref="I66" si="39">ROUND((F66*H66),2)</f>
        <v>228.99</v>
      </c>
      <c r="L66" s="82"/>
    </row>
    <row r="67" spans="1:12" s="20" customFormat="1" ht="61.2" x14ac:dyDescent="0.2">
      <c r="A67" s="109" t="str">
        <f>'MM CALC'!A70</f>
        <v>8.4</v>
      </c>
      <c r="B67" s="19" t="str">
        <f>'MM CALC'!B70</f>
        <v>SEINFRA</v>
      </c>
      <c r="C67" s="109" t="str">
        <f>'MM CALC'!C70</f>
        <v>ED-50228</v>
      </c>
      <c r="D67" s="147" t="s">
        <v>178</v>
      </c>
      <c r="E67" s="40" t="str">
        <f>'MM CALC'!E70</f>
        <v>un</v>
      </c>
      <c r="F67" s="40">
        <f>'MM CALC'!F70</f>
        <v>2</v>
      </c>
      <c r="G67" s="111">
        <v>130.91999999999999</v>
      </c>
      <c r="H67" s="112">
        <f t="shared" ref="H67:H69" si="40">ROUND((G67*(1+$H$10)),2)</f>
        <v>168.65</v>
      </c>
      <c r="I67" s="112">
        <f t="shared" ref="I67:I69" si="41">ROUND((F67*H67),2)</f>
        <v>337.3</v>
      </c>
      <c r="L67" s="47"/>
    </row>
    <row r="68" spans="1:12" s="20" customFormat="1" ht="81.599999999999994" x14ac:dyDescent="0.25">
      <c r="A68" s="109" t="str">
        <f>'MM CALC'!A71</f>
        <v>8.5</v>
      </c>
      <c r="B68" s="19" t="str">
        <f>'MM CALC'!B71</f>
        <v>SEINFRA</v>
      </c>
      <c r="C68" s="109" t="str">
        <f>'MM CALC'!C71</f>
        <v>ED-50227</v>
      </c>
      <c r="D68" s="110" t="str">
        <f>'MM CALC'!D71</f>
        <v>PONTO DE EMBUTIR PARA UM (1) INTERRUPTOR SIMPLES (10A-250V), COM PLACA 4"X2" DE UM (1) POSTO, COM ELETRODUTO FLEXÍVEL CORRUGADO, ANTI-CHAMA, DN 25MM (3/4"), EMBUTIDO NA ALVENARIA E CABO DE COBRE FLEXÍVEL, CLASSE 5, ISOLAMENTO TIPO LSHF/ATOX, NÃO HALOGENADO, SEÇÃO 1,5MM2 ( 70°C-450/750V), COM DISTÂNCIA DE ATÉ DEZ (10) METROS DO PONTO DE DERIVAÇÃO, INCLUSIVE CAIXA DE LIGAÇÃO, SUPORTE E FIXAÇÃO DO ELETRODUTO COM ENCHIMENTO DO RASGO NA ALVENARIA/ CONCRETO COM ARGAMASSA</v>
      </c>
      <c r="E68" s="40" t="str">
        <f>'MM CALC'!E71</f>
        <v>un</v>
      </c>
      <c r="F68" s="40">
        <f>'MM CALC'!F71</f>
        <v>1</v>
      </c>
      <c r="G68" s="111">
        <v>207.98</v>
      </c>
      <c r="H68" s="112">
        <f t="shared" si="40"/>
        <v>267.92</v>
      </c>
      <c r="I68" s="112">
        <f t="shared" si="41"/>
        <v>267.92</v>
      </c>
      <c r="L68" s="47"/>
    </row>
    <row r="69" spans="1:12" s="20" customFormat="1" ht="81.599999999999994" x14ac:dyDescent="0.25">
      <c r="A69" s="109" t="str">
        <f>'MM CALC'!A72</f>
        <v>8.6</v>
      </c>
      <c r="B69" s="19" t="str">
        <f>'MM CALC'!B72</f>
        <v>SEINFRA</v>
      </c>
      <c r="C69" s="109" t="str">
        <f>'MM CALC'!C72</f>
        <v>ED-50232</v>
      </c>
      <c r="D69" s="110" t="str">
        <f>'MM CALC'!D72</f>
        <v>PONTO DE EMBUTIR PARA UMA (1) TOMADA PADRÃO, TRÊS (3) POLOS (2P+T/10A-250V), COM PLACA 4"X2" DE UM ( 1) POSTO, COM ELETRODUTO FLEXÍVEL CORRUGADO, ANTI-CHAMA, DN 25MM (3/4"), EMBUTIDO NA ALVENARIA E CABO DE COBRE FLEXÍVEL, CLASSE 5, ISOLAMENTO TIPO LSHF/ATOX, NÃO HALOGENADO, SEÇÃO 2,5MM2 (70°C-450/750V), COM DISTÂNCIA DE ATÉ DEZ (10) METROS DO PONTO DE DERIVAÇÃO, INCLUSIVE CAIXA DE LIGAÇÃO, SUPORTE E FIXAÇÃO DO ELETRODUTO COM ENCHIMENTO DO RASGO NA ALVENARIA/CONCRETO COM ARGAMASSA</v>
      </c>
      <c r="E69" s="40" t="str">
        <f>'MM CALC'!E72</f>
        <v>un</v>
      </c>
      <c r="F69" s="40">
        <f>'MM CALC'!F72</f>
        <v>3</v>
      </c>
      <c r="G69" s="111">
        <v>260.85000000000002</v>
      </c>
      <c r="H69" s="112">
        <f t="shared" si="40"/>
        <v>336.03</v>
      </c>
      <c r="I69" s="112">
        <f t="shared" si="41"/>
        <v>1008.09</v>
      </c>
      <c r="L69" s="47"/>
    </row>
    <row r="70" spans="1:12" s="81" customFormat="1" ht="20.399999999999999" x14ac:dyDescent="0.25">
      <c r="A70" s="109" t="str">
        <f>'MM CALC'!A73</f>
        <v>8.7</v>
      </c>
      <c r="B70" s="19" t="str">
        <f>'MM CALC'!B73</f>
        <v>SEINFRA</v>
      </c>
      <c r="C70" s="109" t="str">
        <f>'MM CALC'!C73</f>
        <v>ED-26989</v>
      </c>
      <c r="D70" s="110" t="str">
        <f>'MM CALC'!D73</f>
        <v>LUMINÁRIA DE EMERGÊNCIA AUTÔNOMA, TIPO LED POTÊNCIA TOTAL DE 2W, FORNECIMENTO E INSTALAÇÃO</v>
      </c>
      <c r="E70" s="40" t="str">
        <f>'MM CALC'!E73</f>
        <v>un</v>
      </c>
      <c r="F70" s="40">
        <f>'MM CALC'!F73</f>
        <v>1</v>
      </c>
      <c r="G70" s="111">
        <v>26.68</v>
      </c>
      <c r="H70" s="112">
        <f t="shared" ref="H70" si="42">ROUND((G70*(1+$H$10)),2)</f>
        <v>34.369999999999997</v>
      </c>
      <c r="I70" s="112">
        <f t="shared" ref="I70" si="43">ROUND((F70*H70),2)</f>
        <v>34.369999999999997</v>
      </c>
      <c r="L70" s="82"/>
    </row>
    <row r="71" spans="1:12" s="81" customFormat="1" ht="30.6" x14ac:dyDescent="0.25">
      <c r="A71" s="109" t="str">
        <f>'MM CALC'!A74</f>
        <v>8.8</v>
      </c>
      <c r="B71" s="19" t="str">
        <f>'MM CALC'!B74</f>
        <v>SINAPI</v>
      </c>
      <c r="C71" s="109">
        <f>'MM CALC'!C74</f>
        <v>101877</v>
      </c>
      <c r="D71" s="110" t="str">
        <f>'MM CALC'!D74</f>
        <v>QUADRO DE DISTRIBUIÇÃO DE ENERGIA EM PVC, DE EMBUTIR, SEM BARRAMENTO,PARA 3 DISJUNTORES - FORNECIMENTO E INSTALAÇÃO. AF_10/2020</v>
      </c>
      <c r="E71" s="40" t="str">
        <f>'MM CALC'!E74</f>
        <v>un</v>
      </c>
      <c r="F71" s="40">
        <f>'MM CALC'!F74</f>
        <v>1</v>
      </c>
      <c r="G71" s="111">
        <v>50.34</v>
      </c>
      <c r="H71" s="112">
        <f t="shared" ref="H71:H78" si="44">ROUND((G71*(1+$H$10)),2)</f>
        <v>64.849999999999994</v>
      </c>
      <c r="I71" s="112">
        <f t="shared" ref="I71:I78" si="45">ROUND((F71*H71),2)</f>
        <v>64.849999999999994</v>
      </c>
      <c r="L71" s="82"/>
    </row>
    <row r="72" spans="1:12" s="81" customFormat="1" ht="10.199999999999999" x14ac:dyDescent="0.25">
      <c r="A72" s="109" t="str">
        <f>'MM CALC'!A75</f>
        <v>8.9</v>
      </c>
      <c r="B72" s="19" t="str">
        <f>'MM CALC'!B75</f>
        <v>SEINFRA</v>
      </c>
      <c r="C72" s="109" t="str">
        <f>'MM CALC'!C75</f>
        <v>ED-49270</v>
      </c>
      <c r="D72" s="110" t="str">
        <f>'MM CALC'!D75</f>
        <v>DISJUNTOR BIPOLAR TERMOMAGNÉTICO 5KA, DE 16A</v>
      </c>
      <c r="E72" s="40" t="str">
        <f>'MM CALC'!E75</f>
        <v>un</v>
      </c>
      <c r="F72" s="40">
        <f>'MM CALC'!F75</f>
        <v>1</v>
      </c>
      <c r="G72" s="111">
        <v>46.88</v>
      </c>
      <c r="H72" s="112">
        <f t="shared" si="44"/>
        <v>60.39</v>
      </c>
      <c r="I72" s="112">
        <f t="shared" si="45"/>
        <v>60.39</v>
      </c>
      <c r="L72" s="82"/>
    </row>
    <row r="73" spans="1:12" s="81" customFormat="1" ht="10.199999999999999" x14ac:dyDescent="0.25">
      <c r="A73" s="109" t="str">
        <f>'MM CALC'!A76</f>
        <v>8.10</v>
      </c>
      <c r="B73" s="19" t="str">
        <f>'MM CALC'!B76</f>
        <v>SEINFRA</v>
      </c>
      <c r="C73" s="109" t="str">
        <f>'MM CALC'!C76</f>
        <v>ED-49232</v>
      </c>
      <c r="D73" s="110" t="str">
        <f>'MM CALC'!D76</f>
        <v>DISJUNTOR MONOPOLAR TERMOMAGNÉTICO 5KA, DE 25A</v>
      </c>
      <c r="E73" s="40" t="str">
        <f>'MM CALC'!E76</f>
        <v>un</v>
      </c>
      <c r="F73" s="40">
        <f>'MM CALC'!F76</f>
        <v>1</v>
      </c>
      <c r="G73" s="111">
        <v>20.21</v>
      </c>
      <c r="H73" s="112">
        <f t="shared" si="44"/>
        <v>26.03</v>
      </c>
      <c r="I73" s="112">
        <f t="shared" si="45"/>
        <v>26.03</v>
      </c>
      <c r="L73" s="82"/>
    </row>
    <row r="74" spans="1:12" s="81" customFormat="1" ht="20.399999999999999" x14ac:dyDescent="0.25">
      <c r="A74" s="109" t="str">
        <f>'MM CALC'!A77</f>
        <v>8.11</v>
      </c>
      <c r="B74" s="19" t="str">
        <f>'MM CALC'!B77</f>
        <v>SEINFRA</v>
      </c>
      <c r="C74" s="109" t="str">
        <f>'MM CALC'!C77</f>
        <v>ED-4155</v>
      </c>
      <c r="D74" s="110" t="str">
        <f>'MM CALC'!D77</f>
        <v>DUTO CORRUGADO EM PEAD (POLIETILENO DE ALTA DENSIDADE) , PARA PROTEÇÃO DE CABOS SUBTERRÂNEOS DN 30 MM (1.1/4")</v>
      </c>
      <c r="E74" s="40" t="str">
        <f>'MM CALC'!E77</f>
        <v>m</v>
      </c>
      <c r="F74" s="40">
        <f>'MM CALC'!F77</f>
        <v>9.5499999999999989</v>
      </c>
      <c r="G74" s="111">
        <v>21.47</v>
      </c>
      <c r="H74" s="112">
        <f t="shared" si="44"/>
        <v>27.66</v>
      </c>
      <c r="I74" s="112">
        <f t="shared" si="45"/>
        <v>264.14999999999998</v>
      </c>
      <c r="L74" s="82"/>
    </row>
    <row r="75" spans="1:12" s="81" customFormat="1" ht="30.6" x14ac:dyDescent="0.25">
      <c r="A75" s="109" t="str">
        <f>'MM CALC'!A78</f>
        <v>8.12</v>
      </c>
      <c r="B75" s="19" t="str">
        <f>'MM CALC'!B78</f>
        <v>SEINFRA</v>
      </c>
      <c r="C75" s="109" t="str">
        <f>'MM CALC'!C78</f>
        <v>ED-48998</v>
      </c>
      <c r="D75" s="110" t="str">
        <f>'MM CALC'!D78</f>
        <v>CABO DE COBRE FLEXÍVEL, CLASSE 5, ISOLAMENTO TIPO EPR/ HEPR, NÃO HALOGENADO, ANTICHAMA, TERMOFIXO, UNIPOLAR, SEÇÃO 10 MM2, 90°C, 0,6/1KV</v>
      </c>
      <c r="E75" s="40" t="str">
        <f>'MM CALC'!E78</f>
        <v>m</v>
      </c>
      <c r="F75" s="40">
        <f>'MM CALC'!F78</f>
        <v>28.65</v>
      </c>
      <c r="G75" s="111">
        <v>14.09</v>
      </c>
      <c r="H75" s="112">
        <f t="shared" si="44"/>
        <v>18.149999999999999</v>
      </c>
      <c r="I75" s="112">
        <f t="shared" si="45"/>
        <v>520</v>
      </c>
      <c r="L75" s="82"/>
    </row>
    <row r="76" spans="1:12" s="81" customFormat="1" ht="10.199999999999999" x14ac:dyDescent="0.25">
      <c r="A76" s="109" t="str">
        <f>'MM CALC'!A79</f>
        <v>8.13</v>
      </c>
      <c r="B76" s="19" t="str">
        <f>'MM CALC'!B79</f>
        <v>SEINFRA</v>
      </c>
      <c r="C76" s="109" t="str">
        <f>'MM CALC'!C79</f>
        <v>ED-48440</v>
      </c>
      <c r="D76" s="110" t="str">
        <f>'MM CALC'!D79</f>
        <v>DEMOLIÇÃO DE CONCRETO SIMPLES-MANUAL, INCLUSIVE AFASTAMENTO</v>
      </c>
      <c r="E76" s="40" t="str">
        <f>'MM CALC'!E79</f>
        <v>m³</v>
      </c>
      <c r="F76" s="40">
        <f>'MM CALC'!F79</f>
        <v>6.7199999999999996E-2</v>
      </c>
      <c r="G76" s="111">
        <v>239.81</v>
      </c>
      <c r="H76" s="112">
        <f t="shared" ref="H76" si="46">ROUND((G76*(1+$H$10)),2)</f>
        <v>308.92</v>
      </c>
      <c r="I76" s="112">
        <f t="shared" ref="I76" si="47">ROUND((F76*H76),2)</f>
        <v>20.76</v>
      </c>
      <c r="L76" s="82"/>
    </row>
    <row r="77" spans="1:12" s="81" customFormat="1" ht="20.399999999999999" x14ac:dyDescent="0.25">
      <c r="A77" s="109" t="str">
        <f>'MM CALC'!A80</f>
        <v>8.14</v>
      </c>
      <c r="B77" s="19" t="str">
        <f>'MM CALC'!B80</f>
        <v>SEINFRA</v>
      </c>
      <c r="C77" s="109" t="str">
        <f>'MM CALC'!C80</f>
        <v>ED-51107</v>
      </c>
      <c r="D77" s="110" t="str">
        <f>'MM CALC'!D80</f>
        <v>ESCAVAÇÃO MANUAL DE VALA COM PROFUNDIDADE MENOR OU IGUAL A 1,5M</v>
      </c>
      <c r="E77" s="40" t="str">
        <f>'MM CALC'!E80</f>
        <v>m³</v>
      </c>
      <c r="F77" s="40">
        <f>'MM CALC'!F80</f>
        <v>1.96</v>
      </c>
      <c r="G77" s="111">
        <v>55.11</v>
      </c>
      <c r="H77" s="112">
        <f t="shared" si="44"/>
        <v>70.989999999999995</v>
      </c>
      <c r="I77" s="112">
        <f t="shared" si="45"/>
        <v>139.13999999999999</v>
      </c>
      <c r="L77" s="82"/>
    </row>
    <row r="78" spans="1:12" s="81" customFormat="1" ht="10.199999999999999" x14ac:dyDescent="0.25">
      <c r="A78" s="109" t="str">
        <f>'MM CALC'!A81</f>
        <v>8.15</v>
      </c>
      <c r="B78" s="19" t="str">
        <f>'MM CALC'!B81</f>
        <v>SEINFRA</v>
      </c>
      <c r="C78" s="109" t="str">
        <f>'MM CALC'!C81</f>
        <v>ED-51120</v>
      </c>
      <c r="D78" s="110" t="str">
        <f>'MM CALC'!D81</f>
        <v>REATERRO MANUAL DE VALA</v>
      </c>
      <c r="E78" s="40" t="str">
        <f>'MM CALC'!E81</f>
        <v>m³</v>
      </c>
      <c r="F78" s="40">
        <f>'MM CALC'!F81</f>
        <v>1.9501089999999999</v>
      </c>
      <c r="G78" s="111">
        <v>55.11</v>
      </c>
      <c r="H78" s="112">
        <f t="shared" si="44"/>
        <v>70.989999999999995</v>
      </c>
      <c r="I78" s="112">
        <f t="shared" si="45"/>
        <v>138.44</v>
      </c>
      <c r="L78" s="82"/>
    </row>
    <row r="79" spans="1:12" s="81" customFormat="1" ht="10.199999999999999" x14ac:dyDescent="0.25">
      <c r="A79" s="109" t="str">
        <f>'MM CALC'!A82</f>
        <v>8.16</v>
      </c>
      <c r="B79" s="19" t="str">
        <f>'MM CALC'!B82</f>
        <v>SEINFRA</v>
      </c>
      <c r="C79" s="109" t="str">
        <f>'MM CALC'!C82</f>
        <v>ED-51145</v>
      </c>
      <c r="D79" s="110" t="str">
        <f>'MM CALC'!D82</f>
        <v>PASSEIOS DE CONCRETO E = 6 CM, FCK = 10 MPA, JUNTA SECA</v>
      </c>
      <c r="E79" s="40" t="str">
        <f>'MM CALC'!E82</f>
        <v>m²</v>
      </c>
      <c r="F79" s="40">
        <f>'MM CALC'!F82</f>
        <v>1.1199999999999999</v>
      </c>
      <c r="G79" s="111">
        <v>52.36</v>
      </c>
      <c r="H79" s="112">
        <f t="shared" ref="H79" si="48">ROUND((G79*(1+$H$10)),2)</f>
        <v>67.45</v>
      </c>
      <c r="I79" s="112">
        <f t="shared" ref="I79" si="49">ROUND((F79*H79),2)</f>
        <v>75.540000000000006</v>
      </c>
      <c r="L79" s="82"/>
    </row>
    <row r="80" spans="1:12" s="20" customFormat="1" ht="10.199999999999999" x14ac:dyDescent="0.25">
      <c r="A80" s="126">
        <f>'MM CALC'!A83</f>
        <v>9</v>
      </c>
      <c r="B80" s="126"/>
      <c r="C80" s="127"/>
      <c r="D80" s="145" t="str">
        <f>'MM CALC'!D83</f>
        <v>COBERTURA</v>
      </c>
      <c r="E80" s="129"/>
      <c r="F80" s="129"/>
      <c r="G80" s="130"/>
      <c r="H80" s="132"/>
      <c r="I80" s="164">
        <f>SUM(I81:I90)</f>
        <v>6654.34</v>
      </c>
      <c r="L80" s="47"/>
    </row>
    <row r="81" spans="1:12" s="20" customFormat="1" ht="10.199999999999999" x14ac:dyDescent="0.25">
      <c r="A81" s="19" t="str">
        <f>'MM CALC'!A84</f>
        <v>9.1</v>
      </c>
      <c r="B81" s="19" t="s">
        <v>25</v>
      </c>
      <c r="C81" s="109" t="str">
        <f>'MM CALC'!C84</f>
        <v>ED-48408</v>
      </c>
      <c r="D81" s="110" t="str">
        <f>'MM CALC'!D84</f>
        <v>ENGRADAMENTO PARA TELHADO DE FIBROCIMENTO ONDULADA</v>
      </c>
      <c r="E81" s="40" t="str">
        <f>'MM CALC'!E84</f>
        <v>m²</v>
      </c>
      <c r="F81" s="40">
        <f>'MM CALC'!F84</f>
        <v>19.887840000000001</v>
      </c>
      <c r="G81" s="111">
        <v>75.239999999999995</v>
      </c>
      <c r="H81" s="112">
        <f t="shared" ref="H81" si="50">ROUND((G81*(1+$H$10)),2)</f>
        <v>96.92</v>
      </c>
      <c r="I81" s="112">
        <f t="shared" ref="I81" si="51">ROUND((F81*H81),2)</f>
        <v>1927.53</v>
      </c>
      <c r="L81" s="47"/>
    </row>
    <row r="82" spans="1:12" s="20" customFormat="1" ht="10.199999999999999" x14ac:dyDescent="0.25">
      <c r="A82" s="19" t="str">
        <f>'MM CALC'!A85</f>
        <v>9.2</v>
      </c>
      <c r="B82" s="19" t="s">
        <v>25</v>
      </c>
      <c r="C82" s="109" t="str">
        <f>'MM CALC'!C85</f>
        <v>ED-48424</v>
      </c>
      <c r="D82" s="110" t="str">
        <f>'MM CALC'!D85</f>
        <v>COBERTURA EM TELHA DE FIBROCIMENTO ONDULADA E = 6 MM</v>
      </c>
      <c r="E82" s="40" t="str">
        <f>'MM CALC'!E85</f>
        <v>m²</v>
      </c>
      <c r="F82" s="40">
        <f>'MM CALC'!F85</f>
        <v>19.887840000000001</v>
      </c>
      <c r="G82" s="111">
        <v>36.28</v>
      </c>
      <c r="H82" s="112">
        <f t="shared" ref="H82" si="52">ROUND((G82*(1+$H$10)),2)</f>
        <v>46.74</v>
      </c>
      <c r="I82" s="112">
        <f t="shared" ref="I82" si="53">ROUND((F82*H82),2)</f>
        <v>929.56</v>
      </c>
      <c r="L82" s="47"/>
    </row>
    <row r="83" spans="1:12" s="20" customFormat="1" ht="30.6" x14ac:dyDescent="0.25">
      <c r="A83" s="19" t="str">
        <f>'MM CALC'!A86</f>
        <v>9.3</v>
      </c>
      <c r="B83" s="19" t="s">
        <v>25</v>
      </c>
      <c r="C83" s="109" t="str">
        <f>'MM CALC'!C86</f>
        <v>ED-50679</v>
      </c>
      <c r="D83" s="110" t="str">
        <f>'MM CALC'!D86</f>
        <v>RUFO E CONTRA-RUFO EM CHAPA GALVANIZADA, ESP. 0,65MM (GSG-24), COM DESENVOLVIMENTO DE 50CM, INCLUSIVE IÇAMENTO MANUAL VERTICAL</v>
      </c>
      <c r="E83" s="40" t="str">
        <f>'MM CALC'!E86</f>
        <v>m</v>
      </c>
      <c r="F83" s="40">
        <f>'MM CALC'!F86</f>
        <v>16.100000000000001</v>
      </c>
      <c r="G83" s="111">
        <v>69.91</v>
      </c>
      <c r="H83" s="112">
        <f t="shared" ref="H83" si="54">ROUND((G83*(1+$H$10)),2)</f>
        <v>90.06</v>
      </c>
      <c r="I83" s="112">
        <f t="shared" ref="I83" si="55">ROUND((F83*H83),2)</f>
        <v>1449.97</v>
      </c>
      <c r="L83" s="47"/>
    </row>
    <row r="84" spans="1:12" s="20" customFormat="1" ht="10.199999999999999" x14ac:dyDescent="0.25">
      <c r="A84" s="19" t="str">
        <f>'MM CALC'!A87</f>
        <v>9.4</v>
      </c>
      <c r="B84" s="19" t="s">
        <v>194</v>
      </c>
      <c r="C84" s="109" t="str">
        <f>'MM CALC'!C87</f>
        <v>21.12.01</v>
      </c>
      <c r="D84" s="110" t="str">
        <f>'MM CALC'!D87</f>
        <v>CHAPEU DE MURO PADRAO SUCECAP</v>
      </c>
      <c r="E84" s="40" t="str">
        <f>'MM CALC'!E87</f>
        <v>m</v>
      </c>
      <c r="F84" s="40">
        <f>'MM CALC'!F87</f>
        <v>23.3</v>
      </c>
      <c r="G84" s="111">
        <v>18.79</v>
      </c>
      <c r="H84" s="112">
        <f t="shared" ref="H84" si="56">ROUND((G84*(1+$H$10)),2)</f>
        <v>24.21</v>
      </c>
      <c r="I84" s="112">
        <f t="shared" ref="I84" si="57">ROUND((F84*H84),2)</f>
        <v>564.09</v>
      </c>
      <c r="L84" s="47"/>
    </row>
    <row r="85" spans="1:12" s="20" customFormat="1" ht="30.6" x14ac:dyDescent="0.25">
      <c r="A85" s="19" t="str">
        <f>'MM CALC'!A88</f>
        <v>9.5</v>
      </c>
      <c r="B85" s="19" t="str">
        <f>'MM CALC'!B88</f>
        <v>SEINFRA</v>
      </c>
      <c r="C85" s="109" t="str">
        <f>'MM CALC'!C88</f>
        <v>ED-48231</v>
      </c>
      <c r="D85" s="110" t="str">
        <f>'MM CALC'!D88</f>
        <v>ALVENARIA DE VEDAÇÃO COM TIJOLO CERÂMICO FURADO, ESP. 9CM, PARA REVESTIMENTO, INCLUSIVE ARGAMASSA PARA ASSENTAMENTO - PARA CALHA</v>
      </c>
      <c r="E85" s="40" t="str">
        <f>'MM CALC'!E88</f>
        <v>m²</v>
      </c>
      <c r="F85" s="40">
        <f>'MM CALC'!F88</f>
        <v>3.3200000000000003</v>
      </c>
      <c r="G85" s="111">
        <v>42.98</v>
      </c>
      <c r="H85" s="112">
        <f t="shared" ref="H85:H88" si="58">ROUND((G85*(1+$H$10)),2)</f>
        <v>55.37</v>
      </c>
      <c r="I85" s="112">
        <f t="shared" ref="I85:I88" si="59">ROUND((F85*H85),2)</f>
        <v>183.83</v>
      </c>
      <c r="L85" s="47"/>
    </row>
    <row r="86" spans="1:12" s="20" customFormat="1" ht="30.6" x14ac:dyDescent="0.25">
      <c r="A86" s="19" t="str">
        <f>'MM CALC'!A89</f>
        <v>9.6</v>
      </c>
      <c r="B86" s="19" t="str">
        <f>'MM CALC'!B89</f>
        <v>SEINFRA</v>
      </c>
      <c r="C86" s="109" t="str">
        <f>'MM CALC'!C89</f>
        <v>ED-50727</v>
      </c>
      <c r="D86" s="110" t="str">
        <f>'MM CALC'!D89</f>
        <v>CHAPISCO COM ARGAMASSA, TRAÇO 1:3 (CIMENTO E AREIA), ESP. 5MM, APLICADO EM ALVENARIA/ESTRUTURA DE CONCRETO COM COLHER, PREPARO MECÂNICO - PARA CALHA</v>
      </c>
      <c r="E86" s="40" t="str">
        <f>'MM CALC'!E89</f>
        <v>m²</v>
      </c>
      <c r="F86" s="40">
        <f>'MM CALC'!F89</f>
        <v>6.6400000000000006</v>
      </c>
      <c r="G86" s="111">
        <v>7.54</v>
      </c>
      <c r="H86" s="112">
        <f t="shared" si="58"/>
        <v>9.7100000000000009</v>
      </c>
      <c r="I86" s="112">
        <f t="shared" si="59"/>
        <v>64.47</v>
      </c>
      <c r="L86" s="47"/>
    </row>
    <row r="87" spans="1:12" s="20" customFormat="1" ht="30.6" x14ac:dyDescent="0.25">
      <c r="A87" s="19" t="str">
        <f>'MM CALC'!A90</f>
        <v>9.7</v>
      </c>
      <c r="B87" s="19" t="str">
        <f>'MM CALC'!B90</f>
        <v>SEINFRA</v>
      </c>
      <c r="C87" s="109" t="str">
        <f>'MM CALC'!C90</f>
        <v>ED-50762</v>
      </c>
      <c r="D87" s="110" t="str">
        <f>'MM CALC'!D90</f>
        <v>REVESTIMENTO COM ARGAMASSA EM CAMADA ÚNICA, APLICADO EM PAREDE, TRAÇO 1:3 (CIMENTO E AREIA), ESP. 20MM, APLICAÇÃO MANUAL, PREPARO MECÂNICO- PARA CALHA</v>
      </c>
      <c r="E87" s="40" t="str">
        <f>'MM CALC'!E90</f>
        <v>m²</v>
      </c>
      <c r="F87" s="40">
        <f>'MM CALC'!F90</f>
        <v>6.6400000000000006</v>
      </c>
      <c r="G87" s="111">
        <v>25.71</v>
      </c>
      <c r="H87" s="112">
        <f t="shared" si="58"/>
        <v>33.119999999999997</v>
      </c>
      <c r="I87" s="112">
        <f t="shared" si="59"/>
        <v>219.92</v>
      </c>
      <c r="L87" s="47"/>
    </row>
    <row r="88" spans="1:12" s="20" customFormat="1" ht="20.399999999999999" x14ac:dyDescent="0.25">
      <c r="A88" s="19" t="str">
        <f>'MM CALC'!A91</f>
        <v>9.8</v>
      </c>
      <c r="B88" s="19" t="str">
        <f>'MM CALC'!B91</f>
        <v>SEINFRA</v>
      </c>
      <c r="C88" s="109" t="s">
        <v>201</v>
      </c>
      <c r="D88" s="110" t="str">
        <f>'MM CALC'!D91</f>
        <v>IMPERMEABILIZAÇÃO COM MANTA ASFÁLTICA PRÉ-FABRICADA, E = 4 MM - PARA CALHA</v>
      </c>
      <c r="E88" s="40" t="str">
        <f>'MM CALC'!E91</f>
        <v>m²</v>
      </c>
      <c r="F88" s="40">
        <f>'MM CALC'!F91</f>
        <v>7.38</v>
      </c>
      <c r="G88" s="111">
        <v>60.54</v>
      </c>
      <c r="H88" s="112">
        <f t="shared" si="58"/>
        <v>77.989999999999995</v>
      </c>
      <c r="I88" s="112">
        <f t="shared" si="59"/>
        <v>575.57000000000005</v>
      </c>
      <c r="L88" s="47"/>
    </row>
    <row r="89" spans="1:12" s="20" customFormat="1" ht="30.6" x14ac:dyDescent="0.25">
      <c r="A89" s="19" t="str">
        <f>'MM CALC'!A92</f>
        <v>9.9</v>
      </c>
      <c r="B89" s="19" t="str">
        <f>'MM CALC'!B92</f>
        <v>SEINFRA</v>
      </c>
      <c r="C89" s="109" t="s">
        <v>81</v>
      </c>
      <c r="D89" s="110" t="str">
        <f>'MM CALC'!D92</f>
        <v>FORNECIMENTO DE CONCRETO ESTRUTURAL, PREPARADO EM OBRA, COM FCK 25 MPA, INCLUSIVE LANÇAMENTO, ADENSAMENTO E ACABAMENTO - PARA CALHA</v>
      </c>
      <c r="E89" s="40" t="str">
        <f>'MM CALC'!E92</f>
        <v>m³</v>
      </c>
      <c r="F89" s="40">
        <f>'MM CALC'!F92</f>
        <v>0.21032999999999999</v>
      </c>
      <c r="G89" s="111">
        <v>621.71</v>
      </c>
      <c r="H89" s="112">
        <f t="shared" ref="H89" si="60">ROUND((G89*(1+$H$10)),2)</f>
        <v>800.89</v>
      </c>
      <c r="I89" s="112">
        <f t="shared" ref="I89" si="61">ROUND((F89*H89),2)</f>
        <v>168.45</v>
      </c>
      <c r="L89" s="47"/>
    </row>
    <row r="90" spans="1:12" s="20" customFormat="1" ht="30.6" x14ac:dyDescent="0.25">
      <c r="A90" s="19" t="str">
        <f>'MM CALC'!A93</f>
        <v>9.10</v>
      </c>
      <c r="B90" s="153" t="str">
        <f>'MM CALC'!B93</f>
        <v>SEINFRA</v>
      </c>
      <c r="C90" s="153" t="str">
        <f>'MM CALC'!C93</f>
        <v>ED-48668</v>
      </c>
      <c r="D90" s="154" t="str">
        <f>'MM CALC'!D93</f>
        <v>FORNECIMENTO E ASSENTAMENTO DE TUBO PVC RÍGIDO, DRENAGEM/PLUVIAL, PBV - SÉRIE NORMAL, DN 75 MM (3"), INCLUSIVE CONEXÕES</v>
      </c>
      <c r="E90" s="153" t="str">
        <f>'MM CALC'!E93</f>
        <v>m</v>
      </c>
      <c r="F90" s="153">
        <f>'MM CALC'!F93</f>
        <v>11.6</v>
      </c>
      <c r="G90" s="153">
        <v>38.21</v>
      </c>
      <c r="H90" s="112">
        <f t="shared" ref="H90" si="62">ROUND((G90*(1+$H$10)),2)</f>
        <v>49.22</v>
      </c>
      <c r="I90" s="112">
        <f t="shared" ref="I90" si="63">ROUND((F90*H90),2)</f>
        <v>570.95000000000005</v>
      </c>
      <c r="L90" s="47"/>
    </row>
    <row r="91" spans="1:12" s="81" customFormat="1" ht="10.199999999999999" x14ac:dyDescent="0.25">
      <c r="A91" s="126">
        <v>10</v>
      </c>
      <c r="B91" s="126"/>
      <c r="C91" s="127"/>
      <c r="D91" s="128" t="s">
        <v>42</v>
      </c>
      <c r="E91" s="129"/>
      <c r="F91" s="131"/>
      <c r="G91" s="130"/>
      <c r="H91" s="132"/>
      <c r="I91" s="164">
        <f>SUM(I92:I92)</f>
        <v>206.49</v>
      </c>
      <c r="L91" s="82"/>
    </row>
    <row r="92" spans="1:12" s="20" customFormat="1" ht="10.199999999999999" x14ac:dyDescent="0.25">
      <c r="A92" s="19" t="str">
        <f>'MM CALC'!A95</f>
        <v>10.1</v>
      </c>
      <c r="B92" s="19" t="str">
        <f>'MM CALC'!B95</f>
        <v>SEINFRA</v>
      </c>
      <c r="C92" s="109" t="str">
        <f>'MM CALC'!C95</f>
        <v>ED-50266</v>
      </c>
      <c r="D92" s="110" t="str">
        <f>'MM CALC'!D95</f>
        <v>LIMPEZA FINAL PARA ENTREGA DA OBRA</v>
      </c>
      <c r="E92" s="40" t="str">
        <f>'MM CALC'!E95</f>
        <v>m²</v>
      </c>
      <c r="F92" s="40">
        <f>'MM CALC'!F95</f>
        <v>27.35</v>
      </c>
      <c r="G92" s="111">
        <v>5.86</v>
      </c>
      <c r="H92" s="112">
        <f>ROUND((G92*(1+$H$10)),2)</f>
        <v>7.55</v>
      </c>
      <c r="I92" s="112">
        <f>ROUND((F92*H92),2)</f>
        <v>206.49</v>
      </c>
      <c r="L92" s="47"/>
    </row>
    <row r="93" spans="1:12" s="20" customFormat="1" ht="10.199999999999999" x14ac:dyDescent="0.25">
      <c r="A93" s="133"/>
      <c r="B93" s="133"/>
      <c r="C93" s="134"/>
      <c r="D93" s="135"/>
      <c r="E93" s="131"/>
      <c r="F93" s="131"/>
      <c r="G93" s="136"/>
      <c r="H93" s="137" t="s">
        <v>7</v>
      </c>
      <c r="I93" s="132">
        <f>I91+I80+I63+I46+I38+I34+I28+I15+I13+I36</f>
        <v>76584.600000000006</v>
      </c>
      <c r="J93" s="44"/>
      <c r="L93" s="47"/>
    </row>
    <row r="94" spans="1:12" s="20" customFormat="1" ht="10.199999999999999" x14ac:dyDescent="0.25">
      <c r="A94" s="173"/>
      <c r="B94" s="174"/>
      <c r="C94" s="175"/>
      <c r="D94" s="176"/>
      <c r="E94" s="177"/>
      <c r="F94" s="177"/>
      <c r="G94" s="178"/>
      <c r="H94" s="179"/>
      <c r="I94" s="180"/>
      <c r="J94" s="44"/>
      <c r="L94" s="47"/>
    </row>
    <row r="95" spans="1:12" ht="13.8" x14ac:dyDescent="0.25">
      <c r="A95" s="143"/>
      <c r="D95" s="139" t="s">
        <v>101</v>
      </c>
      <c r="E95" s="140"/>
      <c r="F95" s="83"/>
      <c r="G95" s="139"/>
      <c r="I95" s="144"/>
    </row>
    <row r="96" spans="1:12" ht="13.8" x14ac:dyDescent="0.25">
      <c r="A96" s="143"/>
      <c r="D96" s="141" t="s">
        <v>44</v>
      </c>
      <c r="E96" s="142"/>
      <c r="F96" s="83"/>
      <c r="G96" s="141"/>
      <c r="I96" s="144"/>
    </row>
    <row r="97" spans="1:12" s="84" customFormat="1" ht="13.8" x14ac:dyDescent="0.25">
      <c r="A97" s="87"/>
      <c r="B97" s="83"/>
      <c r="C97" s="83"/>
      <c r="D97" s="83" t="s">
        <v>45</v>
      </c>
      <c r="E97" s="142"/>
      <c r="F97" s="83"/>
      <c r="G97" s="139"/>
      <c r="H97" s="88"/>
      <c r="I97" s="85"/>
      <c r="L97" s="86"/>
    </row>
    <row r="98" spans="1:12" x14ac:dyDescent="0.25">
      <c r="A98" s="181"/>
      <c r="B98" s="182"/>
      <c r="C98" s="182"/>
      <c r="D98" s="183"/>
      <c r="E98" s="182"/>
      <c r="F98" s="184"/>
      <c r="G98" s="185"/>
      <c r="H98" s="185"/>
      <c r="I98" s="186"/>
    </row>
    <row r="99" spans="1:12" x14ac:dyDescent="0.25">
      <c r="D99" s="59"/>
    </row>
    <row r="100" spans="1:12" x14ac:dyDescent="0.25">
      <c r="D100" s="10"/>
    </row>
    <row r="104" spans="1:12" x14ac:dyDescent="0.25">
      <c r="I104" s="63"/>
    </row>
  </sheetData>
  <autoFilter ref="A12:L93" xr:uid="{00000000-0009-0000-0000-000000000000}"/>
  <mergeCells count="8">
    <mergeCell ref="C2:I2"/>
    <mergeCell ref="I8:I10"/>
    <mergeCell ref="A4:I4"/>
    <mergeCell ref="E8:F8"/>
    <mergeCell ref="E7:I7"/>
    <mergeCell ref="G8:H9"/>
    <mergeCell ref="A8:D8"/>
    <mergeCell ref="A9:D10"/>
  </mergeCells>
  <phoneticPr fontId="22" type="noConversion"/>
  <conditionalFormatting sqref="D40:D42">
    <cfRule type="expression" dxfId="1" priority="1">
      <formula>LEN($B40)=1</formula>
    </cfRule>
  </conditionalFormatting>
  <printOptions horizontalCentered="1"/>
  <pageMargins left="0.39370078740157483" right="0.27559055118110237" top="0.62992125984251968" bottom="0.59055118110236227" header="0.51181102362204722" footer="0.31496062992125984"/>
  <pageSetup paperSize="9" fitToHeight="0" orientation="landscape" r:id="rId1"/>
  <headerFooter alignWithMargins="0">
    <oddFooter>&amp;C
Página &amp;P de &amp;N</oddFooter>
  </headerFooter>
  <rowBreaks count="6" manualBreakCount="6">
    <brk id="26" max="8" man="1"/>
    <brk id="41" max="8" man="1"/>
    <brk id="55" max="8" man="1"/>
    <brk id="66" max="8" man="1"/>
    <brk id="71" max="8" man="1"/>
    <brk id="86" max="8" man="1"/>
  </rowBreaks>
  <ignoredErrors>
    <ignoredError sqref="I25:I27 I29 I60:I61 I43 I35 I16:I23 I47:I49 I53 I67:I70 I55:I5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I106"/>
  <sheetViews>
    <sheetView showGridLines="0" view="pageBreakPreview" zoomScale="75" zoomScaleNormal="100" zoomScaleSheetLayoutView="75" workbookViewId="0">
      <selection activeCell="E104" sqref="E104"/>
    </sheetView>
  </sheetViews>
  <sheetFormatPr defaultColWidth="9.21875" defaultRowHeight="13.2" x14ac:dyDescent="0.25"/>
  <cols>
    <col min="1" max="1" width="6.44140625" style="22" customWidth="1"/>
    <col min="2" max="2" width="13.21875" style="21" bestFit="1" customWidth="1"/>
    <col min="3" max="3" width="10.109375" style="21" customWidth="1"/>
    <col min="4" max="4" width="51.5546875" style="11" customWidth="1"/>
    <col min="5" max="5" width="8.77734375" style="21" bestFit="1" customWidth="1"/>
    <col min="6" max="6" width="7.77734375" style="23" bestFit="1" customWidth="1"/>
    <col min="7" max="7" width="80.5546875" style="14" customWidth="1"/>
    <col min="8" max="8" width="40.77734375" style="10" customWidth="1"/>
    <col min="9" max="16384" width="9.21875" style="14"/>
  </cols>
  <sheetData>
    <row r="1" spans="1:8" x14ac:dyDescent="0.25">
      <c r="A1" s="257" t="s">
        <v>297</v>
      </c>
      <c r="B1" s="258"/>
      <c r="C1" s="258"/>
      <c r="D1" s="258"/>
      <c r="E1" s="258"/>
      <c r="F1" s="258"/>
      <c r="G1" s="258"/>
      <c r="H1" s="259"/>
    </row>
    <row r="2" spans="1:8" x14ac:dyDescent="0.25">
      <c r="A2" s="260"/>
      <c r="B2" s="261"/>
      <c r="C2" s="261"/>
      <c r="D2" s="261"/>
      <c r="E2" s="261"/>
      <c r="F2" s="261"/>
      <c r="G2" s="261"/>
      <c r="H2" s="262"/>
    </row>
    <row r="3" spans="1:8" x14ac:dyDescent="0.25">
      <c r="A3" s="260"/>
      <c r="B3" s="261"/>
      <c r="C3" s="261"/>
      <c r="D3" s="261"/>
      <c r="E3" s="261"/>
      <c r="F3" s="261"/>
      <c r="G3" s="261"/>
      <c r="H3" s="262"/>
    </row>
    <row r="4" spans="1:8" x14ac:dyDescent="0.25">
      <c r="A4" s="260"/>
      <c r="B4" s="261"/>
      <c r="C4" s="261"/>
      <c r="D4" s="261"/>
      <c r="E4" s="261"/>
      <c r="F4" s="261"/>
      <c r="G4" s="261"/>
      <c r="H4" s="262"/>
    </row>
    <row r="5" spans="1:8" x14ac:dyDescent="0.25">
      <c r="A5" s="260"/>
      <c r="B5" s="261"/>
      <c r="C5" s="261"/>
      <c r="D5" s="261"/>
      <c r="E5" s="261"/>
      <c r="F5" s="261"/>
      <c r="G5" s="261"/>
      <c r="H5" s="262"/>
    </row>
    <row r="6" spans="1:8" x14ac:dyDescent="0.25">
      <c r="A6" s="260"/>
      <c r="B6" s="261"/>
      <c r="C6" s="261"/>
      <c r="D6" s="261"/>
      <c r="E6" s="261"/>
      <c r="F6" s="261"/>
      <c r="G6" s="261"/>
      <c r="H6" s="262"/>
    </row>
    <row r="7" spans="1:8" x14ac:dyDescent="0.25">
      <c r="A7" s="260"/>
      <c r="B7" s="261"/>
      <c r="C7" s="261"/>
      <c r="D7" s="261"/>
      <c r="E7" s="261"/>
      <c r="F7" s="261"/>
      <c r="G7" s="261"/>
      <c r="H7" s="262"/>
    </row>
    <row r="8" spans="1:8" ht="13.8" thickBot="1" x14ac:dyDescent="0.3">
      <c r="A8" s="263"/>
      <c r="B8" s="264"/>
      <c r="C8" s="264"/>
      <c r="D8" s="264"/>
      <c r="E8" s="264"/>
      <c r="F8" s="264"/>
      <c r="G8" s="264"/>
      <c r="H8" s="265"/>
    </row>
    <row r="9" spans="1:8" s="10" customFormat="1" x14ac:dyDescent="0.25">
      <c r="A9" s="266" t="s">
        <v>20</v>
      </c>
      <c r="B9" s="267"/>
      <c r="C9" s="267"/>
      <c r="D9" s="267"/>
      <c r="E9" s="267"/>
      <c r="F9" s="267"/>
      <c r="G9" s="267"/>
      <c r="H9" s="268"/>
    </row>
    <row r="10" spans="1:8" s="10" customFormat="1" x14ac:dyDescent="0.25">
      <c r="A10" s="269"/>
      <c r="B10" s="270"/>
      <c r="C10" s="270"/>
      <c r="D10" s="270"/>
      <c r="E10" s="270"/>
      <c r="F10" s="270"/>
      <c r="G10" s="270"/>
      <c r="H10" s="271"/>
    </row>
    <row r="11" spans="1:8" s="10" customFormat="1" x14ac:dyDescent="0.25">
      <c r="A11" s="187" t="s">
        <v>294</v>
      </c>
      <c r="B11" s="1"/>
      <c r="C11" s="107"/>
      <c r="D11" s="106"/>
      <c r="E11" s="16" t="s">
        <v>296</v>
      </c>
      <c r="F11" s="64"/>
      <c r="G11" s="272"/>
      <c r="H11" s="273"/>
    </row>
    <row r="12" spans="1:8" s="10" customFormat="1" x14ac:dyDescent="0.25">
      <c r="A12" s="187" t="s">
        <v>119</v>
      </c>
      <c r="B12" s="1"/>
      <c r="C12" s="107"/>
      <c r="D12" s="105"/>
      <c r="E12" s="1"/>
      <c r="F12" s="64"/>
      <c r="G12" s="272"/>
      <c r="H12" s="273"/>
    </row>
    <row r="13" spans="1:8" s="10" customFormat="1" x14ac:dyDescent="0.25">
      <c r="A13" s="187" t="s">
        <v>295</v>
      </c>
      <c r="B13" s="1"/>
      <c r="C13" s="107"/>
      <c r="D13" s="105"/>
      <c r="E13" s="1"/>
      <c r="F13" s="65"/>
      <c r="G13" s="272"/>
      <c r="H13" s="273"/>
    </row>
    <row r="14" spans="1:8" s="10" customFormat="1" ht="13.05" customHeight="1" x14ac:dyDescent="0.25">
      <c r="A14" s="212"/>
      <c r="B14" s="13"/>
      <c r="C14" s="213"/>
      <c r="D14" s="214"/>
      <c r="E14" s="13"/>
      <c r="F14" s="215"/>
      <c r="G14" s="274"/>
      <c r="H14" s="275"/>
    </row>
    <row r="15" spans="1:8" s="3" customFormat="1" x14ac:dyDescent="0.25">
      <c r="A15" s="188" t="s">
        <v>0</v>
      </c>
      <c r="B15" s="50" t="s">
        <v>8</v>
      </c>
      <c r="C15" s="50" t="s">
        <v>2</v>
      </c>
      <c r="D15" s="27" t="s">
        <v>1</v>
      </c>
      <c r="E15" s="50" t="s">
        <v>24</v>
      </c>
      <c r="F15" s="48" t="s">
        <v>6</v>
      </c>
      <c r="G15" s="27" t="s">
        <v>14</v>
      </c>
      <c r="H15" s="189"/>
    </row>
    <row r="16" spans="1:8" s="76" customFormat="1" x14ac:dyDescent="0.25">
      <c r="A16" s="190">
        <v>1</v>
      </c>
      <c r="B16" s="27"/>
      <c r="C16" s="27"/>
      <c r="D16" s="97" t="s">
        <v>46</v>
      </c>
      <c r="E16" s="27"/>
      <c r="F16" s="78"/>
      <c r="G16" s="79"/>
      <c r="H16" s="191"/>
    </row>
    <row r="17" spans="1:8" ht="79.2" x14ac:dyDescent="0.25">
      <c r="A17" s="192" t="s">
        <v>22</v>
      </c>
      <c r="B17" s="98" t="s">
        <v>25</v>
      </c>
      <c r="C17" s="98" t="s">
        <v>74</v>
      </c>
      <c r="D17" s="113" t="s">
        <v>59</v>
      </c>
      <c r="E17" s="99" t="s">
        <v>63</v>
      </c>
      <c r="F17" s="166">
        <v>1</v>
      </c>
      <c r="G17" s="114" t="s">
        <v>62</v>
      </c>
      <c r="H17" s="189">
        <v>1</v>
      </c>
    </row>
    <row r="18" spans="1:8" s="76" customFormat="1" x14ac:dyDescent="0.25">
      <c r="A18" s="190">
        <v>2</v>
      </c>
      <c r="B18" s="27"/>
      <c r="C18" s="27"/>
      <c r="D18" s="97" t="s">
        <v>64</v>
      </c>
      <c r="E18" s="77"/>
      <c r="F18" s="60"/>
      <c r="G18" s="75"/>
      <c r="H18" s="191"/>
    </row>
    <row r="19" spans="1:8" ht="52.8" x14ac:dyDescent="0.25">
      <c r="A19" s="192" t="s">
        <v>23</v>
      </c>
      <c r="B19" s="98" t="s">
        <v>25</v>
      </c>
      <c r="C19" s="98" t="s">
        <v>75</v>
      </c>
      <c r="D19" s="113" t="s">
        <v>223</v>
      </c>
      <c r="E19" s="98" t="s">
        <v>67</v>
      </c>
      <c r="F19" s="115">
        <f>(0.55*0.7*1.25*7)+(23.8*0.3*0.35)</f>
        <v>5.8677499999999991</v>
      </c>
      <c r="G19" s="114" t="s">
        <v>121</v>
      </c>
      <c r="H19" s="193" t="s">
        <v>120</v>
      </c>
    </row>
    <row r="20" spans="1:8" ht="26.4" x14ac:dyDescent="0.25">
      <c r="A20" s="192" t="s">
        <v>30</v>
      </c>
      <c r="B20" s="98" t="s">
        <v>25</v>
      </c>
      <c r="C20" s="98" t="s">
        <v>76</v>
      </c>
      <c r="D20" s="100" t="s">
        <v>27</v>
      </c>
      <c r="E20" s="116" t="s">
        <v>68</v>
      </c>
      <c r="F20" s="115">
        <f>(0.55*0.7*7)+(23.8*0.3)</f>
        <v>9.8350000000000009</v>
      </c>
      <c r="G20" s="114" t="s">
        <v>113</v>
      </c>
      <c r="H20" s="193" t="s">
        <v>123</v>
      </c>
    </row>
    <row r="21" spans="1:8" ht="39.6" x14ac:dyDescent="0.25">
      <c r="A21" s="192" t="s">
        <v>31</v>
      </c>
      <c r="B21" s="98" t="s">
        <v>25</v>
      </c>
      <c r="C21" s="98" t="s">
        <v>77</v>
      </c>
      <c r="D21" s="100" t="s">
        <v>28</v>
      </c>
      <c r="E21" s="98" t="s">
        <v>67</v>
      </c>
      <c r="F21" s="166">
        <f>F19-F22-F25</f>
        <v>3.2259999999999995</v>
      </c>
      <c r="G21" s="101" t="s">
        <v>99</v>
      </c>
      <c r="H21" s="194">
        <f>F21</f>
        <v>3.2259999999999995</v>
      </c>
    </row>
    <row r="22" spans="1:8" s="74" customFormat="1" ht="26.4" x14ac:dyDescent="0.25">
      <c r="A22" s="192" t="s">
        <v>228</v>
      </c>
      <c r="B22" s="98" t="s">
        <v>25</v>
      </c>
      <c r="C22" s="98" t="s">
        <v>57</v>
      </c>
      <c r="D22" s="100" t="s">
        <v>58</v>
      </c>
      <c r="E22" s="98" t="s">
        <v>67</v>
      </c>
      <c r="F22" s="115">
        <f>(0.55*0.7*0.05*7)+(23.8*0.3*0.05)</f>
        <v>0.49175000000000002</v>
      </c>
      <c r="G22" s="114" t="s">
        <v>114</v>
      </c>
      <c r="H22" s="193" t="s">
        <v>122</v>
      </c>
    </row>
    <row r="23" spans="1:8" ht="26.4" x14ac:dyDescent="0.25">
      <c r="A23" s="192" t="s">
        <v>229</v>
      </c>
      <c r="B23" s="98" t="s">
        <v>25</v>
      </c>
      <c r="C23" s="98" t="s">
        <v>78</v>
      </c>
      <c r="D23" s="100" t="s">
        <v>47</v>
      </c>
      <c r="E23" s="116" t="s">
        <v>68</v>
      </c>
      <c r="F23" s="166">
        <f>19.95+7.39</f>
        <v>27.34</v>
      </c>
      <c r="G23" s="114" t="s">
        <v>117</v>
      </c>
      <c r="H23" s="193" t="s">
        <v>126</v>
      </c>
    </row>
    <row r="24" spans="1:8" ht="66" x14ac:dyDescent="0.25">
      <c r="A24" s="192" t="s">
        <v>230</v>
      </c>
      <c r="B24" s="98" t="s">
        <v>25</v>
      </c>
      <c r="C24" s="98" t="s">
        <v>79</v>
      </c>
      <c r="D24" s="100" t="s">
        <v>29</v>
      </c>
      <c r="E24" s="98" t="s">
        <v>61</v>
      </c>
      <c r="F24" s="166">
        <f>34+74.2+175.5+87.4+66.5</f>
        <v>437.6</v>
      </c>
      <c r="G24" s="114" t="s">
        <v>111</v>
      </c>
      <c r="H24" s="193" t="s">
        <v>127</v>
      </c>
    </row>
    <row r="25" spans="1:8" ht="52.8" x14ac:dyDescent="0.25">
      <c r="A25" s="192" t="s">
        <v>231</v>
      </c>
      <c r="B25" s="98" t="s">
        <v>25</v>
      </c>
      <c r="C25" s="98" t="s">
        <v>80</v>
      </c>
      <c r="D25" s="100" t="s">
        <v>48</v>
      </c>
      <c r="E25" s="98" t="s">
        <v>67</v>
      </c>
      <c r="F25" s="166">
        <f>0.67+1.13+0.35</f>
        <v>2.15</v>
      </c>
      <c r="G25" s="114" t="s">
        <v>112</v>
      </c>
      <c r="H25" s="193" t="s">
        <v>124</v>
      </c>
    </row>
    <row r="26" spans="1:8" ht="26.4" x14ac:dyDescent="0.25">
      <c r="A26" s="192" t="s">
        <v>232</v>
      </c>
      <c r="B26" s="98" t="s">
        <v>25</v>
      </c>
      <c r="C26" s="98" t="s">
        <v>91</v>
      </c>
      <c r="D26" s="100" t="s">
        <v>56</v>
      </c>
      <c r="E26" s="116" t="s">
        <v>68</v>
      </c>
      <c r="F26" s="115">
        <f>(23.8*0.3*2)+(23.8*0.14)</f>
        <v>17.611999999999998</v>
      </c>
      <c r="G26" s="117" t="s">
        <v>118</v>
      </c>
      <c r="H26" s="189" t="s">
        <v>125</v>
      </c>
    </row>
    <row r="27" spans="1:8" ht="39.6" x14ac:dyDescent="0.25">
      <c r="A27" s="192" t="s">
        <v>233</v>
      </c>
      <c r="B27" s="98" t="s">
        <v>25</v>
      </c>
      <c r="C27" s="98" t="s">
        <v>116</v>
      </c>
      <c r="D27" s="100" t="s">
        <v>115</v>
      </c>
      <c r="E27" s="116" t="s">
        <v>68</v>
      </c>
      <c r="F27" s="115">
        <f>27.72+19.95+12.7</f>
        <v>60.370000000000005</v>
      </c>
      <c r="G27" s="114" t="s">
        <v>132</v>
      </c>
      <c r="H27" s="193" t="s">
        <v>128</v>
      </c>
    </row>
    <row r="28" spans="1:8" ht="39.6" x14ac:dyDescent="0.25">
      <c r="A28" s="192" t="s">
        <v>234</v>
      </c>
      <c r="B28" s="98" t="s">
        <v>25</v>
      </c>
      <c r="C28" s="98" t="s">
        <v>81</v>
      </c>
      <c r="D28" s="100" t="s">
        <v>49</v>
      </c>
      <c r="E28" s="98" t="s">
        <v>67</v>
      </c>
      <c r="F28" s="166">
        <f>1.33+1.13+0.66</f>
        <v>3.12</v>
      </c>
      <c r="G28" s="114" t="s">
        <v>131</v>
      </c>
      <c r="H28" s="193" t="s">
        <v>129</v>
      </c>
    </row>
    <row r="29" spans="1:8" ht="52.8" x14ac:dyDescent="0.25">
      <c r="A29" s="192" t="s">
        <v>235</v>
      </c>
      <c r="B29" s="98" t="s">
        <v>25</v>
      </c>
      <c r="C29" s="169" t="s">
        <v>172</v>
      </c>
      <c r="D29" s="170" t="s">
        <v>171</v>
      </c>
      <c r="E29" s="116" t="s">
        <v>173</v>
      </c>
      <c r="F29" s="166">
        <v>3.34</v>
      </c>
      <c r="G29" s="114" t="s">
        <v>130</v>
      </c>
      <c r="H29" s="193" t="s">
        <v>133</v>
      </c>
    </row>
    <row r="30" spans="1:8" ht="39.6" x14ac:dyDescent="0.25">
      <c r="A30" s="192" t="s">
        <v>236</v>
      </c>
      <c r="B30" s="98" t="s">
        <v>25</v>
      </c>
      <c r="C30" s="98" t="s">
        <v>82</v>
      </c>
      <c r="D30" s="100" t="s">
        <v>50</v>
      </c>
      <c r="E30" s="116" t="s">
        <v>68</v>
      </c>
      <c r="F30" s="166">
        <v>27.35</v>
      </c>
      <c r="G30" s="101" t="s">
        <v>134</v>
      </c>
      <c r="H30" s="193" t="s">
        <v>298</v>
      </c>
    </row>
    <row r="31" spans="1:8" s="76" customFormat="1" x14ac:dyDescent="0.25">
      <c r="A31" s="190">
        <v>3</v>
      </c>
      <c r="B31" s="27"/>
      <c r="C31" s="27"/>
      <c r="D31" s="97" t="s">
        <v>65</v>
      </c>
      <c r="E31" s="27"/>
      <c r="F31" s="60"/>
      <c r="G31" s="75"/>
      <c r="H31" s="191"/>
    </row>
    <row r="32" spans="1:8" ht="52.8" x14ac:dyDescent="0.25">
      <c r="A32" s="192" t="s">
        <v>32</v>
      </c>
      <c r="B32" s="98" t="s">
        <v>25</v>
      </c>
      <c r="C32" s="169" t="s">
        <v>135</v>
      </c>
      <c r="D32" s="100" t="s">
        <v>174</v>
      </c>
      <c r="E32" s="116" t="s">
        <v>68</v>
      </c>
      <c r="F32" s="166">
        <f>(((6.55+3.25+4.15+1.35+4.8)*3.3  ) - (1*0.4*2))+((6.55+3.25+4.15+1.35+4.8+2.15)*0.9)</f>
        <v>85.555000000000007</v>
      </c>
      <c r="G32" s="101" t="s">
        <v>136</v>
      </c>
      <c r="H32" s="193" t="s">
        <v>338</v>
      </c>
    </row>
    <row r="33" spans="1:8" ht="39.6" x14ac:dyDescent="0.25">
      <c r="A33" s="192" t="s">
        <v>33</v>
      </c>
      <c r="B33" s="98" t="s">
        <v>25</v>
      </c>
      <c r="C33" s="121" t="s">
        <v>336</v>
      </c>
      <c r="D33" s="100" t="s">
        <v>337</v>
      </c>
      <c r="E33" s="116" t="s">
        <v>68</v>
      </c>
      <c r="F33" s="166">
        <f>((6.55+3.25+4.15+1.35+4.8)*2)</f>
        <v>40.200000000000003</v>
      </c>
      <c r="G33" s="101" t="s">
        <v>340</v>
      </c>
      <c r="H33" s="193" t="s">
        <v>339</v>
      </c>
    </row>
    <row r="34" spans="1:8" ht="26.4" x14ac:dyDescent="0.25">
      <c r="A34" s="192" t="s">
        <v>34</v>
      </c>
      <c r="B34" s="98" t="s">
        <v>93</v>
      </c>
      <c r="C34" s="118">
        <v>93186</v>
      </c>
      <c r="D34" s="119" t="s">
        <v>103</v>
      </c>
      <c r="E34" s="120" t="s">
        <v>60</v>
      </c>
      <c r="F34" s="166">
        <f>(1+0.3)*2</f>
        <v>2.6</v>
      </c>
      <c r="G34" s="101" t="s">
        <v>105</v>
      </c>
      <c r="H34" s="193" t="s">
        <v>137</v>
      </c>
    </row>
    <row r="35" spans="1:8" ht="39.6" x14ac:dyDescent="0.25">
      <c r="A35" s="192" t="s">
        <v>71</v>
      </c>
      <c r="B35" s="98" t="s">
        <v>93</v>
      </c>
      <c r="C35" s="118">
        <v>93196</v>
      </c>
      <c r="D35" s="119" t="s">
        <v>104</v>
      </c>
      <c r="E35" s="120" t="s">
        <v>60</v>
      </c>
      <c r="F35" s="166">
        <f>F34</f>
        <v>2.6</v>
      </c>
      <c r="G35" s="101" t="s">
        <v>106</v>
      </c>
      <c r="H35" s="193" t="s">
        <v>137</v>
      </c>
    </row>
    <row r="36" spans="1:8" ht="39.6" x14ac:dyDescent="0.25">
      <c r="A36" s="192" t="s">
        <v>335</v>
      </c>
      <c r="B36" s="98" t="s">
        <v>25</v>
      </c>
      <c r="C36" s="169" t="s">
        <v>144</v>
      </c>
      <c r="D36" s="170" t="s">
        <v>145</v>
      </c>
      <c r="E36" s="120" t="s">
        <v>67</v>
      </c>
      <c r="F36" s="166">
        <f>2.2*3.3*0.15</f>
        <v>1.089</v>
      </c>
      <c r="G36" s="101" t="s">
        <v>146</v>
      </c>
      <c r="H36" s="193" t="s">
        <v>147</v>
      </c>
    </row>
    <row r="37" spans="1:8" s="76" customFormat="1" x14ac:dyDescent="0.25">
      <c r="A37" s="190">
        <v>4</v>
      </c>
      <c r="B37" s="27"/>
      <c r="C37" s="27"/>
      <c r="D37" s="97" t="s">
        <v>216</v>
      </c>
      <c r="E37" s="27"/>
      <c r="F37" s="60"/>
      <c r="G37" s="75"/>
      <c r="H37" s="191"/>
    </row>
    <row r="38" spans="1:8" ht="66" x14ac:dyDescent="0.25">
      <c r="A38" s="192" t="s">
        <v>66</v>
      </c>
      <c r="B38" s="98" t="s">
        <v>25</v>
      </c>
      <c r="C38" s="169" t="s">
        <v>138</v>
      </c>
      <c r="D38" s="100" t="s">
        <v>141</v>
      </c>
      <c r="E38" s="116" t="s">
        <v>68</v>
      </c>
      <c r="F38" s="166">
        <f>1*0.4*2</f>
        <v>0.8</v>
      </c>
      <c r="G38" s="101" t="s">
        <v>140</v>
      </c>
      <c r="H38" s="193" t="s">
        <v>139</v>
      </c>
    </row>
    <row r="39" spans="1:8" x14ac:dyDescent="0.25">
      <c r="A39" s="195">
        <v>5</v>
      </c>
      <c r="B39" s="98"/>
      <c r="C39" s="169"/>
      <c r="D39" s="163" t="s">
        <v>51</v>
      </c>
      <c r="E39" s="116"/>
      <c r="F39" s="166"/>
      <c r="G39" s="101"/>
      <c r="H39" s="193"/>
    </row>
    <row r="40" spans="1:8" ht="26.4" x14ac:dyDescent="0.25">
      <c r="A40" s="192" t="s">
        <v>210</v>
      </c>
      <c r="B40" s="98" t="s">
        <v>25</v>
      </c>
      <c r="C40" s="98" t="s">
        <v>185</v>
      </c>
      <c r="D40" s="100" t="s">
        <v>186</v>
      </c>
      <c r="E40" s="116" t="s">
        <v>60</v>
      </c>
      <c r="F40" s="166">
        <v>3.99</v>
      </c>
      <c r="G40" s="101" t="s">
        <v>187</v>
      </c>
      <c r="H40" s="189">
        <v>3.99</v>
      </c>
    </row>
    <row r="41" spans="1:8" s="76" customFormat="1" x14ac:dyDescent="0.25">
      <c r="A41" s="190">
        <v>6</v>
      </c>
      <c r="B41" s="27"/>
      <c r="C41" s="27"/>
      <c r="D41" s="97" t="s">
        <v>52</v>
      </c>
      <c r="E41" s="27"/>
      <c r="F41" s="60"/>
      <c r="G41" s="75"/>
      <c r="H41" s="191"/>
    </row>
    <row r="42" spans="1:8" s="76" customFormat="1" ht="26.4" x14ac:dyDescent="0.25">
      <c r="A42" s="196" t="s">
        <v>39</v>
      </c>
      <c r="B42" s="108" t="s">
        <v>25</v>
      </c>
      <c r="C42" s="108" t="s">
        <v>109</v>
      </c>
      <c r="D42" s="123" t="s">
        <v>110</v>
      </c>
      <c r="E42" s="108" t="s">
        <v>68</v>
      </c>
      <c r="F42" s="167">
        <v>23.38</v>
      </c>
      <c r="G42" s="122" t="s">
        <v>142</v>
      </c>
      <c r="H42" s="194">
        <v>23.38</v>
      </c>
    </row>
    <row r="43" spans="1:8" x14ac:dyDescent="0.25">
      <c r="A43" s="196" t="s">
        <v>237</v>
      </c>
      <c r="B43" s="98" t="s">
        <v>25</v>
      </c>
      <c r="C43" s="118" t="s">
        <v>345</v>
      </c>
      <c r="D43" s="119" t="s">
        <v>346</v>
      </c>
      <c r="E43" s="116" t="s">
        <v>67</v>
      </c>
      <c r="F43" s="166">
        <f>F45*0.05</f>
        <v>1.169</v>
      </c>
      <c r="G43" s="101" t="s">
        <v>347</v>
      </c>
      <c r="H43" s="193" t="s">
        <v>348</v>
      </c>
    </row>
    <row r="44" spans="1:8" ht="26.4" x14ac:dyDescent="0.25">
      <c r="A44" s="196" t="s">
        <v>238</v>
      </c>
      <c r="B44" s="98" t="s">
        <v>25</v>
      </c>
      <c r="C44" s="118" t="s">
        <v>341</v>
      </c>
      <c r="D44" s="119" t="s">
        <v>342</v>
      </c>
      <c r="E44" s="116" t="s">
        <v>68</v>
      </c>
      <c r="F44" s="166">
        <f>F46</f>
        <v>23.38</v>
      </c>
      <c r="G44" s="101" t="s">
        <v>143</v>
      </c>
      <c r="H44" s="231">
        <f>F44</f>
        <v>23.38</v>
      </c>
    </row>
    <row r="45" spans="1:8" ht="52.8" x14ac:dyDescent="0.25">
      <c r="A45" s="196" t="s">
        <v>318</v>
      </c>
      <c r="B45" s="121" t="s">
        <v>93</v>
      </c>
      <c r="C45" s="118">
        <v>94994</v>
      </c>
      <c r="D45" s="119" t="s">
        <v>322</v>
      </c>
      <c r="E45" s="116" t="s">
        <v>68</v>
      </c>
      <c r="F45" s="166">
        <v>23.38</v>
      </c>
      <c r="G45" s="101" t="s">
        <v>143</v>
      </c>
      <c r="H45" s="193">
        <v>23.38</v>
      </c>
    </row>
    <row r="46" spans="1:8" ht="26.4" x14ac:dyDescent="0.25">
      <c r="A46" s="196" t="s">
        <v>319</v>
      </c>
      <c r="B46" s="98" t="s">
        <v>25</v>
      </c>
      <c r="C46" s="98" t="s">
        <v>83</v>
      </c>
      <c r="D46" s="100" t="s">
        <v>72</v>
      </c>
      <c r="E46" s="116" t="s">
        <v>68</v>
      </c>
      <c r="F46" s="166">
        <v>23.38</v>
      </c>
      <c r="G46" s="101" t="s">
        <v>143</v>
      </c>
      <c r="H46" s="193">
        <v>23.38</v>
      </c>
    </row>
    <row r="47" spans="1:8" ht="26.4" x14ac:dyDescent="0.25">
      <c r="A47" s="196" t="s">
        <v>343</v>
      </c>
      <c r="B47" s="98" t="s">
        <v>25</v>
      </c>
      <c r="C47" s="98" t="s">
        <v>302</v>
      </c>
      <c r="D47" s="100" t="s">
        <v>303</v>
      </c>
      <c r="E47" s="99" t="s">
        <v>67</v>
      </c>
      <c r="F47" s="166">
        <f>(1*2.55*0.06)+(1*1*0.06)</f>
        <v>0.21299999999999999</v>
      </c>
      <c r="G47" s="101" t="s">
        <v>328</v>
      </c>
      <c r="H47" s="193" t="s">
        <v>327</v>
      </c>
    </row>
    <row r="48" spans="1:8" ht="26.4" x14ac:dyDescent="0.25">
      <c r="A48" s="196" t="s">
        <v>344</v>
      </c>
      <c r="B48" s="98" t="s">
        <v>25</v>
      </c>
      <c r="C48" s="98" t="s">
        <v>309</v>
      </c>
      <c r="D48" s="100" t="s">
        <v>310</v>
      </c>
      <c r="E48" s="98" t="s">
        <v>68</v>
      </c>
      <c r="F48" s="166">
        <v>5</v>
      </c>
      <c r="G48" s="101" t="s">
        <v>320</v>
      </c>
      <c r="H48" s="193" t="s">
        <v>329</v>
      </c>
    </row>
    <row r="49" spans="1:9" s="76" customFormat="1" x14ac:dyDescent="0.25">
      <c r="A49" s="190">
        <v>7</v>
      </c>
      <c r="B49" s="27"/>
      <c r="C49" s="27"/>
      <c r="D49" s="97" t="s">
        <v>53</v>
      </c>
      <c r="E49" s="27"/>
      <c r="F49" s="60"/>
      <c r="G49" s="75"/>
      <c r="H49" s="191"/>
    </row>
    <row r="50" spans="1:9" ht="105.6" x14ac:dyDescent="0.25">
      <c r="A50" s="192" t="s">
        <v>40</v>
      </c>
      <c r="B50" s="98" t="s">
        <v>25</v>
      </c>
      <c r="C50" s="98" t="s">
        <v>84</v>
      </c>
      <c r="D50" s="100" t="s">
        <v>38</v>
      </c>
      <c r="E50" s="116" t="s">
        <v>68</v>
      </c>
      <c r="F50" s="166">
        <f>((6.15+3.25+3.95+1.75+5)*3.5)+(((6.55+3.65+4+1.35+5)*3.6)-((1*0.4*2)*2))+((6.15+3.25+3.95+1.75+5+2.15+6.55+3.65+4+1.35+5)*0.9)</f>
        <v>181.25000000000003</v>
      </c>
      <c r="G50" s="101" t="s">
        <v>148</v>
      </c>
      <c r="H50" s="193" t="s">
        <v>331</v>
      </c>
    </row>
    <row r="51" spans="1:9" ht="39.6" x14ac:dyDescent="0.25">
      <c r="A51" s="192" t="s">
        <v>41</v>
      </c>
      <c r="B51" s="98" t="s">
        <v>25</v>
      </c>
      <c r="C51" s="98" t="s">
        <v>85</v>
      </c>
      <c r="D51" s="100" t="s">
        <v>36</v>
      </c>
      <c r="E51" s="116" t="s">
        <v>68</v>
      </c>
      <c r="F51" s="166">
        <f>F50</f>
        <v>181.25000000000003</v>
      </c>
      <c r="G51" s="101" t="s">
        <v>69</v>
      </c>
      <c r="H51" s="194">
        <f>F51</f>
        <v>181.25000000000003</v>
      </c>
    </row>
    <row r="52" spans="1:9" ht="79.2" x14ac:dyDescent="0.25">
      <c r="A52" s="192" t="s">
        <v>211</v>
      </c>
      <c r="B52" s="98" t="s">
        <v>25</v>
      </c>
      <c r="C52" s="98" t="s">
        <v>86</v>
      </c>
      <c r="D52" s="100" t="s">
        <v>73</v>
      </c>
      <c r="E52" s="116" t="s">
        <v>68</v>
      </c>
      <c r="F52" s="166">
        <f>F46</f>
        <v>23.38</v>
      </c>
      <c r="G52" s="101" t="s">
        <v>149</v>
      </c>
      <c r="H52" s="193">
        <v>23.38</v>
      </c>
    </row>
    <row r="53" spans="1:9" x14ac:dyDescent="0.25">
      <c r="A53" s="192" t="s">
        <v>239</v>
      </c>
      <c r="B53" s="98" t="s">
        <v>25</v>
      </c>
      <c r="C53" s="171" t="s">
        <v>151</v>
      </c>
      <c r="D53" s="100" t="s">
        <v>150</v>
      </c>
      <c r="E53" s="116" t="s">
        <v>68</v>
      </c>
      <c r="F53" s="166">
        <v>23.38</v>
      </c>
      <c r="G53" s="101" t="s">
        <v>152</v>
      </c>
      <c r="H53" s="193">
        <v>23.38</v>
      </c>
    </row>
    <row r="54" spans="1:9" ht="26.4" x14ac:dyDescent="0.25">
      <c r="A54" s="192" t="s">
        <v>240</v>
      </c>
      <c r="B54" s="98" t="s">
        <v>324</v>
      </c>
      <c r="C54" s="169">
        <v>1</v>
      </c>
      <c r="D54" s="100" t="s">
        <v>325</v>
      </c>
      <c r="E54" s="116" t="s">
        <v>60</v>
      </c>
      <c r="F54" s="166">
        <v>21.9</v>
      </c>
      <c r="G54" s="101" t="s">
        <v>326</v>
      </c>
      <c r="H54" s="193">
        <v>21.9</v>
      </c>
    </row>
    <row r="55" spans="1:9" ht="26.4" x14ac:dyDescent="0.25">
      <c r="A55" s="192" t="s">
        <v>241</v>
      </c>
      <c r="B55" s="98" t="s">
        <v>25</v>
      </c>
      <c r="C55" s="169" t="s">
        <v>154</v>
      </c>
      <c r="D55" s="170" t="s">
        <v>153</v>
      </c>
      <c r="E55" s="116" t="s">
        <v>68</v>
      </c>
      <c r="F55" s="166">
        <v>23.38</v>
      </c>
      <c r="G55" s="101" t="s">
        <v>155</v>
      </c>
      <c r="H55" s="193">
        <v>23.38</v>
      </c>
    </row>
    <row r="56" spans="1:9" x14ac:dyDescent="0.25">
      <c r="A56" s="192" t="s">
        <v>242</v>
      </c>
      <c r="B56" s="98" t="s">
        <v>25</v>
      </c>
      <c r="C56" s="98" t="s">
        <v>87</v>
      </c>
      <c r="D56" s="100" t="s">
        <v>54</v>
      </c>
      <c r="E56" s="116" t="s">
        <v>68</v>
      </c>
      <c r="F56" s="115">
        <f>(1*0.26*2)</f>
        <v>0.52</v>
      </c>
      <c r="G56" s="117" t="s">
        <v>300</v>
      </c>
      <c r="H56" s="193" t="s">
        <v>170</v>
      </c>
    </row>
    <row r="57" spans="1:9" x14ac:dyDescent="0.25">
      <c r="A57" s="192" t="s">
        <v>243</v>
      </c>
      <c r="B57" s="98" t="s">
        <v>25</v>
      </c>
      <c r="C57" s="98" t="s">
        <v>206</v>
      </c>
      <c r="D57" s="100" t="s">
        <v>207</v>
      </c>
      <c r="E57" s="116" t="s">
        <v>68</v>
      </c>
      <c r="F57" s="115">
        <f>2.2*0.15</f>
        <v>0.33</v>
      </c>
      <c r="G57" s="117" t="s">
        <v>208</v>
      </c>
      <c r="H57" s="193" t="s">
        <v>209</v>
      </c>
    </row>
    <row r="58" spans="1:9" ht="52.8" x14ac:dyDescent="0.25">
      <c r="A58" s="192" t="s">
        <v>244</v>
      </c>
      <c r="B58" s="98" t="s">
        <v>25</v>
      </c>
      <c r="C58" s="172" t="s">
        <v>158</v>
      </c>
      <c r="D58" s="170" t="s">
        <v>157</v>
      </c>
      <c r="E58" s="116" t="s">
        <v>68</v>
      </c>
      <c r="F58" s="115">
        <f>F53</f>
        <v>23.38</v>
      </c>
      <c r="G58" s="101" t="s">
        <v>159</v>
      </c>
      <c r="H58" s="197">
        <f>F58</f>
        <v>23.38</v>
      </c>
    </row>
    <row r="59" spans="1:9" ht="39.6" x14ac:dyDescent="0.25">
      <c r="A59" s="192" t="s">
        <v>245</v>
      </c>
      <c r="B59" s="98" t="s">
        <v>25</v>
      </c>
      <c r="C59" s="98" t="s">
        <v>88</v>
      </c>
      <c r="D59" s="100" t="s">
        <v>43</v>
      </c>
      <c r="E59" s="116" t="s">
        <v>68</v>
      </c>
      <c r="F59" s="115">
        <f>F51</f>
        <v>181.25000000000003</v>
      </c>
      <c r="G59" s="117" t="s">
        <v>156</v>
      </c>
      <c r="H59" s="197">
        <f>F59</f>
        <v>181.25000000000003</v>
      </c>
    </row>
    <row r="60" spans="1:9" ht="39.6" x14ac:dyDescent="0.25">
      <c r="A60" s="192" t="s">
        <v>246</v>
      </c>
      <c r="B60" s="98" t="s">
        <v>25</v>
      </c>
      <c r="C60" s="98" t="s">
        <v>161</v>
      </c>
      <c r="D60" s="100" t="s">
        <v>160</v>
      </c>
      <c r="E60" s="116" t="s">
        <v>68</v>
      </c>
      <c r="F60" s="115">
        <f>F58</f>
        <v>23.38</v>
      </c>
      <c r="G60" s="117" t="str">
        <f>G58</f>
        <v>conforme área de forro de gesso</v>
      </c>
      <c r="H60" s="197">
        <f>H58</f>
        <v>23.38</v>
      </c>
    </row>
    <row r="61" spans="1:9" ht="39.6" x14ac:dyDescent="0.25">
      <c r="A61" s="192" t="s">
        <v>247</v>
      </c>
      <c r="B61" s="98" t="s">
        <v>25</v>
      </c>
      <c r="C61" s="169" t="s">
        <v>265</v>
      </c>
      <c r="D61" s="100" t="s">
        <v>264</v>
      </c>
      <c r="E61" s="116" t="s">
        <v>68</v>
      </c>
      <c r="F61" s="115">
        <f>((6.15+3.25+3.95+1.75+5)*3.5)-((1*0.4*2))</f>
        <v>69.550000000000011</v>
      </c>
      <c r="G61" s="117" t="s">
        <v>266</v>
      </c>
      <c r="H61" s="193" t="s">
        <v>332</v>
      </c>
    </row>
    <row r="62" spans="1:9" ht="26.4" x14ac:dyDescent="0.25">
      <c r="A62" s="192" t="s">
        <v>248</v>
      </c>
      <c r="B62" s="98" t="s">
        <v>25</v>
      </c>
      <c r="C62" s="121" t="s">
        <v>262</v>
      </c>
      <c r="D62" s="100" t="s">
        <v>263</v>
      </c>
      <c r="E62" s="116" t="s">
        <v>68</v>
      </c>
      <c r="F62" s="115">
        <f>F50-F61-((6.15+3.25+3.95+1.75+5+2.15)*0.9)</f>
        <v>91.675000000000011</v>
      </c>
      <c r="G62" s="117" t="s">
        <v>267</v>
      </c>
      <c r="H62" s="193" t="s">
        <v>333</v>
      </c>
      <c r="I62" s="14">
        <f>((6.15+3.25+3.95+1.75+5+2.15)*0.9)</f>
        <v>20.025000000000002</v>
      </c>
    </row>
    <row r="63" spans="1:9" ht="39.6" x14ac:dyDescent="0.25">
      <c r="A63" s="192" t="s">
        <v>249</v>
      </c>
      <c r="B63" s="98" t="s">
        <v>25</v>
      </c>
      <c r="C63" s="98" t="s">
        <v>89</v>
      </c>
      <c r="D63" s="100" t="s">
        <v>37</v>
      </c>
      <c r="E63" s="116" t="s">
        <v>68</v>
      </c>
      <c r="F63" s="115">
        <f>F58</f>
        <v>23.38</v>
      </c>
      <c r="G63" s="101" t="str">
        <f>G58</f>
        <v>conforme área de forro de gesso</v>
      </c>
      <c r="H63" s="197">
        <f>F63</f>
        <v>23.38</v>
      </c>
    </row>
    <row r="64" spans="1:9" ht="39.6" x14ac:dyDescent="0.25">
      <c r="A64" s="192" t="s">
        <v>268</v>
      </c>
      <c r="B64" s="98" t="s">
        <v>25</v>
      </c>
      <c r="C64" s="98" t="s">
        <v>90</v>
      </c>
      <c r="D64" s="100" t="s">
        <v>55</v>
      </c>
      <c r="E64" s="116" t="s">
        <v>68</v>
      </c>
      <c r="F64" s="115">
        <f>F59</f>
        <v>181.25000000000003</v>
      </c>
      <c r="G64" s="101" t="str">
        <f>G59</f>
        <v>conforme área de chapisco em alvenaria</v>
      </c>
      <c r="H64" s="197">
        <f>F64</f>
        <v>181.25000000000003</v>
      </c>
    </row>
    <row r="65" spans="1:8" ht="39.6" x14ac:dyDescent="0.25">
      <c r="A65" s="192" t="s">
        <v>323</v>
      </c>
      <c r="B65" s="98" t="s">
        <v>25</v>
      </c>
      <c r="C65" s="98" t="s">
        <v>107</v>
      </c>
      <c r="D65" s="100" t="s">
        <v>108</v>
      </c>
      <c r="E65" s="116" t="s">
        <v>60</v>
      </c>
      <c r="F65" s="115">
        <f>3.99+3.99+(11*0.5)</f>
        <v>13.48</v>
      </c>
      <c r="G65" s="117" t="s">
        <v>188</v>
      </c>
      <c r="H65" s="189" t="s">
        <v>189</v>
      </c>
    </row>
    <row r="66" spans="1:8" s="76" customFormat="1" x14ac:dyDescent="0.25">
      <c r="A66" s="190">
        <v>8</v>
      </c>
      <c r="B66" s="27"/>
      <c r="C66" s="27"/>
      <c r="D66" s="97" t="s">
        <v>94</v>
      </c>
      <c r="E66" s="77"/>
      <c r="F66" s="5"/>
      <c r="G66" s="80"/>
      <c r="H66" s="191"/>
    </row>
    <row r="67" spans="1:8" s="76" customFormat="1" ht="39.6" x14ac:dyDescent="0.25">
      <c r="A67" s="196" t="s">
        <v>212</v>
      </c>
      <c r="B67" s="108" t="s">
        <v>25</v>
      </c>
      <c r="C67" s="151" t="s">
        <v>184</v>
      </c>
      <c r="D67" s="152" t="s">
        <v>183</v>
      </c>
      <c r="E67" s="148" t="s">
        <v>63</v>
      </c>
      <c r="F67" s="149">
        <v>4</v>
      </c>
      <c r="G67" s="150" t="s">
        <v>182</v>
      </c>
      <c r="H67" s="189">
        <v>4</v>
      </c>
    </row>
    <row r="68" spans="1:8" s="76" customFormat="1" ht="52.8" x14ac:dyDescent="0.25">
      <c r="A68" s="196" t="s">
        <v>70</v>
      </c>
      <c r="B68" s="108" t="s">
        <v>25</v>
      </c>
      <c r="C68" s="151" t="s">
        <v>180</v>
      </c>
      <c r="D68" s="152" t="s">
        <v>179</v>
      </c>
      <c r="E68" s="148" t="s">
        <v>63</v>
      </c>
      <c r="F68" s="149">
        <v>2</v>
      </c>
      <c r="G68" s="150" t="s">
        <v>181</v>
      </c>
      <c r="H68" s="189">
        <v>2</v>
      </c>
    </row>
    <row r="69" spans="1:8" s="76" customFormat="1" ht="26.4" x14ac:dyDescent="0.25">
      <c r="A69" s="196" t="s">
        <v>217</v>
      </c>
      <c r="B69" s="108" t="s">
        <v>25</v>
      </c>
      <c r="C69" s="151" t="s">
        <v>269</v>
      </c>
      <c r="D69" s="152" t="s">
        <v>270</v>
      </c>
      <c r="E69" s="148" t="s">
        <v>60</v>
      </c>
      <c r="F69" s="121">
        <f>(0.3+0.3+2+2)*2</f>
        <v>9.1999999999999993</v>
      </c>
      <c r="G69" s="150" t="s">
        <v>330</v>
      </c>
      <c r="H69" s="189" t="s">
        <v>271</v>
      </c>
    </row>
    <row r="70" spans="1:8" ht="118.8" x14ac:dyDescent="0.25">
      <c r="A70" s="196" t="s">
        <v>250</v>
      </c>
      <c r="B70" s="98" t="s">
        <v>25</v>
      </c>
      <c r="C70" s="98" t="s">
        <v>95</v>
      </c>
      <c r="D70" s="100" t="s">
        <v>102</v>
      </c>
      <c r="E70" s="99" t="s">
        <v>63</v>
      </c>
      <c r="F70" s="115">
        <v>2</v>
      </c>
      <c r="G70" s="117" t="s">
        <v>177</v>
      </c>
      <c r="H70" s="189">
        <v>2</v>
      </c>
    </row>
    <row r="71" spans="1:8" ht="145.19999999999999" x14ac:dyDescent="0.25">
      <c r="A71" s="196" t="s">
        <v>251</v>
      </c>
      <c r="B71" s="98" t="s">
        <v>25</v>
      </c>
      <c r="C71" s="98" t="s">
        <v>96</v>
      </c>
      <c r="D71" s="170" t="s">
        <v>224</v>
      </c>
      <c r="E71" s="99" t="s">
        <v>63</v>
      </c>
      <c r="F71" s="115">
        <v>1</v>
      </c>
      <c r="G71" s="117" t="s">
        <v>176</v>
      </c>
      <c r="H71" s="189">
        <v>1</v>
      </c>
    </row>
    <row r="72" spans="1:8" ht="145.19999999999999" x14ac:dyDescent="0.25">
      <c r="A72" s="196" t="s">
        <v>252</v>
      </c>
      <c r="B72" s="98" t="s">
        <v>25</v>
      </c>
      <c r="C72" s="124" t="s">
        <v>97</v>
      </c>
      <c r="D72" s="170" t="s">
        <v>225</v>
      </c>
      <c r="E72" s="99" t="s">
        <v>63</v>
      </c>
      <c r="F72" s="115">
        <v>3</v>
      </c>
      <c r="G72" s="117" t="s">
        <v>175</v>
      </c>
      <c r="H72" s="189">
        <v>3</v>
      </c>
    </row>
    <row r="73" spans="1:8" ht="39.6" x14ac:dyDescent="0.25">
      <c r="A73" s="196" t="s">
        <v>253</v>
      </c>
      <c r="B73" s="98" t="s">
        <v>25</v>
      </c>
      <c r="C73" s="98" t="s">
        <v>226</v>
      </c>
      <c r="D73" s="100" t="s">
        <v>227</v>
      </c>
      <c r="E73" s="99" t="s">
        <v>63</v>
      </c>
      <c r="F73" s="115">
        <v>1</v>
      </c>
      <c r="G73" s="117" t="s">
        <v>100</v>
      </c>
      <c r="H73" s="189">
        <v>5</v>
      </c>
    </row>
    <row r="74" spans="1:8" ht="39.6" x14ac:dyDescent="0.25">
      <c r="A74" s="196" t="s">
        <v>272</v>
      </c>
      <c r="B74" s="98" t="s">
        <v>93</v>
      </c>
      <c r="C74" s="98">
        <v>101877</v>
      </c>
      <c r="D74" s="100" t="s">
        <v>306</v>
      </c>
      <c r="E74" s="99" t="s">
        <v>63</v>
      </c>
      <c r="F74" s="115">
        <v>1</v>
      </c>
      <c r="G74" s="117" t="s">
        <v>275</v>
      </c>
      <c r="H74" s="189">
        <v>1</v>
      </c>
    </row>
    <row r="75" spans="1:8" x14ac:dyDescent="0.25">
      <c r="A75" s="196" t="s">
        <v>273</v>
      </c>
      <c r="B75" s="98" t="s">
        <v>25</v>
      </c>
      <c r="C75" s="98" t="s">
        <v>285</v>
      </c>
      <c r="D75" s="100" t="s">
        <v>286</v>
      </c>
      <c r="E75" s="99" t="s">
        <v>63</v>
      </c>
      <c r="F75" s="115">
        <v>1</v>
      </c>
      <c r="G75" s="117" t="s">
        <v>276</v>
      </c>
      <c r="H75" s="189">
        <v>1</v>
      </c>
    </row>
    <row r="76" spans="1:8" ht="26.4" x14ac:dyDescent="0.25">
      <c r="A76" s="196" t="s">
        <v>274</v>
      </c>
      <c r="B76" s="98" t="s">
        <v>25</v>
      </c>
      <c r="C76" s="98" t="s">
        <v>277</v>
      </c>
      <c r="D76" s="100" t="s">
        <v>278</v>
      </c>
      <c r="E76" s="99" t="s">
        <v>63</v>
      </c>
      <c r="F76" s="115">
        <v>1</v>
      </c>
      <c r="G76" s="117" t="s">
        <v>279</v>
      </c>
      <c r="H76" s="189">
        <v>1</v>
      </c>
    </row>
    <row r="77" spans="1:8" ht="39.6" x14ac:dyDescent="0.25">
      <c r="A77" s="196" t="s">
        <v>282</v>
      </c>
      <c r="B77" s="98" t="s">
        <v>25</v>
      </c>
      <c r="C77" s="98" t="s">
        <v>280</v>
      </c>
      <c r="D77" s="100" t="s">
        <v>281</v>
      </c>
      <c r="E77" s="99" t="s">
        <v>60</v>
      </c>
      <c r="F77" s="115">
        <f>6.15+2+0.7+0.7</f>
        <v>9.5499999999999989</v>
      </c>
      <c r="G77" s="117" t="s">
        <v>288</v>
      </c>
      <c r="H77" s="189" t="s">
        <v>316</v>
      </c>
    </row>
    <row r="78" spans="1:8" ht="39.6" x14ac:dyDescent="0.25">
      <c r="A78" s="196" t="s">
        <v>283</v>
      </c>
      <c r="B78" s="98" t="s">
        <v>25</v>
      </c>
      <c r="C78" s="98" t="s">
        <v>284</v>
      </c>
      <c r="D78" s="100" t="s">
        <v>287</v>
      </c>
      <c r="E78" s="99" t="s">
        <v>60</v>
      </c>
      <c r="F78" s="115">
        <f>F77*3</f>
        <v>28.65</v>
      </c>
      <c r="G78" s="117" t="s">
        <v>289</v>
      </c>
      <c r="H78" s="189" t="s">
        <v>317</v>
      </c>
    </row>
    <row r="79" spans="1:8" ht="26.4" x14ac:dyDescent="0.25">
      <c r="A79" s="196" t="s">
        <v>291</v>
      </c>
      <c r="B79" s="98" t="s">
        <v>25</v>
      </c>
      <c r="C79" s="98" t="s">
        <v>302</v>
      </c>
      <c r="D79" s="100" t="s">
        <v>303</v>
      </c>
      <c r="E79" s="99" t="s">
        <v>67</v>
      </c>
      <c r="F79" s="115">
        <f>5.6*0.2*0.06</f>
        <v>6.7199999999999996E-2</v>
      </c>
      <c r="G79" s="117" t="s">
        <v>304</v>
      </c>
      <c r="H79" s="189" t="s">
        <v>311</v>
      </c>
    </row>
    <row r="80" spans="1:8" ht="26.4" x14ac:dyDescent="0.25">
      <c r="A80" s="196" t="s">
        <v>292</v>
      </c>
      <c r="B80" s="98" t="s">
        <v>25</v>
      </c>
      <c r="C80" s="98" t="s">
        <v>75</v>
      </c>
      <c r="D80" s="113" t="s">
        <v>223</v>
      </c>
      <c r="E80" s="99" t="s">
        <v>67</v>
      </c>
      <c r="F80" s="115">
        <f>14*0.7*0.2</f>
        <v>1.96</v>
      </c>
      <c r="G80" s="117" t="s">
        <v>305</v>
      </c>
      <c r="H80" s="189" t="s">
        <v>312</v>
      </c>
    </row>
    <row r="81" spans="1:8" x14ac:dyDescent="0.25">
      <c r="A81" s="196" t="s">
        <v>307</v>
      </c>
      <c r="B81" s="98" t="s">
        <v>25</v>
      </c>
      <c r="C81" s="98" t="s">
        <v>77</v>
      </c>
      <c r="D81" s="100" t="s">
        <v>28</v>
      </c>
      <c r="E81" s="98" t="s">
        <v>67</v>
      </c>
      <c r="F81" s="115">
        <f>(14*0.7*0.2)-(3.14*0.015*0.015*14)</f>
        <v>1.9501089999999999</v>
      </c>
      <c r="G81" s="117" t="s">
        <v>290</v>
      </c>
      <c r="H81" s="189" t="s">
        <v>313</v>
      </c>
    </row>
    <row r="82" spans="1:8" ht="26.4" x14ac:dyDescent="0.25">
      <c r="A82" s="196" t="s">
        <v>308</v>
      </c>
      <c r="B82" s="98" t="s">
        <v>25</v>
      </c>
      <c r="C82" s="98" t="s">
        <v>309</v>
      </c>
      <c r="D82" s="100" t="s">
        <v>310</v>
      </c>
      <c r="E82" s="98" t="s">
        <v>68</v>
      </c>
      <c r="F82" s="115">
        <f>5.6*0.2</f>
        <v>1.1199999999999999</v>
      </c>
      <c r="G82" s="117" t="s">
        <v>314</v>
      </c>
      <c r="H82" s="189" t="s">
        <v>315</v>
      </c>
    </row>
    <row r="83" spans="1:8" x14ac:dyDescent="0.25">
      <c r="A83" s="190">
        <v>9</v>
      </c>
      <c r="B83" s="27"/>
      <c r="C83" s="27"/>
      <c r="D83" s="97" t="s">
        <v>162</v>
      </c>
      <c r="E83" s="99"/>
      <c r="F83" s="115"/>
      <c r="G83" s="117"/>
      <c r="H83" s="189"/>
    </row>
    <row r="84" spans="1:8" ht="26.4" x14ac:dyDescent="0.25">
      <c r="A84" s="192" t="s">
        <v>213</v>
      </c>
      <c r="B84" s="98" t="s">
        <v>25</v>
      </c>
      <c r="C84" s="169" t="s">
        <v>163</v>
      </c>
      <c r="D84" s="100" t="s">
        <v>164</v>
      </c>
      <c r="E84" s="99" t="s">
        <v>68</v>
      </c>
      <c r="F84" s="104">
        <f>(16.29+3.44)*1.008</f>
        <v>19.887840000000001</v>
      </c>
      <c r="G84" s="117" t="s">
        <v>191</v>
      </c>
      <c r="H84" s="193" t="s">
        <v>190</v>
      </c>
    </row>
    <row r="85" spans="1:8" ht="26.4" x14ac:dyDescent="0.25">
      <c r="A85" s="192" t="s">
        <v>214</v>
      </c>
      <c r="B85" s="98" t="s">
        <v>25</v>
      </c>
      <c r="C85" s="98" t="s">
        <v>165</v>
      </c>
      <c r="D85" s="100" t="s">
        <v>166</v>
      </c>
      <c r="E85" s="99" t="s">
        <v>68</v>
      </c>
      <c r="F85" s="104">
        <f>F84</f>
        <v>19.887840000000001</v>
      </c>
      <c r="G85" s="117" t="s">
        <v>191</v>
      </c>
      <c r="H85" s="193" t="s">
        <v>190</v>
      </c>
    </row>
    <row r="86" spans="1:8" ht="39.6" x14ac:dyDescent="0.25">
      <c r="A86" s="192" t="s">
        <v>254</v>
      </c>
      <c r="B86" s="98" t="s">
        <v>25</v>
      </c>
      <c r="C86" s="171" t="s">
        <v>167</v>
      </c>
      <c r="D86" s="170" t="s">
        <v>168</v>
      </c>
      <c r="E86" s="99" t="s">
        <v>60</v>
      </c>
      <c r="F86" s="121">
        <f>2.55+6.15+2.55+2.15+1.35+1.35</f>
        <v>16.100000000000001</v>
      </c>
      <c r="G86" s="117" t="s">
        <v>169</v>
      </c>
      <c r="H86" s="189" t="s">
        <v>301</v>
      </c>
    </row>
    <row r="87" spans="1:8" x14ac:dyDescent="0.25">
      <c r="A87" s="192" t="s">
        <v>255</v>
      </c>
      <c r="B87" s="98" t="s">
        <v>194</v>
      </c>
      <c r="C87" s="151" t="s">
        <v>192</v>
      </c>
      <c r="D87" s="152" t="s">
        <v>193</v>
      </c>
      <c r="E87" s="99" t="s">
        <v>60</v>
      </c>
      <c r="F87" s="121">
        <f>3.65+6.55+5+2.55+1.35+4.2</f>
        <v>23.3</v>
      </c>
      <c r="G87" s="117" t="s">
        <v>195</v>
      </c>
      <c r="H87" s="189" t="s">
        <v>334</v>
      </c>
    </row>
    <row r="88" spans="1:8" ht="39.6" x14ac:dyDescent="0.25">
      <c r="A88" s="192" t="s">
        <v>256</v>
      </c>
      <c r="B88" s="98" t="s">
        <v>25</v>
      </c>
      <c r="C88" s="98" t="s">
        <v>196</v>
      </c>
      <c r="D88" s="100" t="s">
        <v>218</v>
      </c>
      <c r="E88" s="99" t="s">
        <v>68</v>
      </c>
      <c r="F88" s="115">
        <f>(6.15+2.15)*0.4</f>
        <v>3.3200000000000003</v>
      </c>
      <c r="G88" s="117" t="s">
        <v>198</v>
      </c>
      <c r="H88" s="189" t="s">
        <v>197</v>
      </c>
    </row>
    <row r="89" spans="1:8" ht="52.8" x14ac:dyDescent="0.25">
      <c r="A89" s="192" t="s">
        <v>257</v>
      </c>
      <c r="B89" s="98" t="s">
        <v>25</v>
      </c>
      <c r="C89" s="98" t="s">
        <v>84</v>
      </c>
      <c r="D89" s="100" t="s">
        <v>219</v>
      </c>
      <c r="E89" s="116" t="s">
        <v>68</v>
      </c>
      <c r="F89" s="166">
        <f>F88*2</f>
        <v>6.6400000000000006</v>
      </c>
      <c r="G89" s="101" t="s">
        <v>199</v>
      </c>
      <c r="H89" s="193" t="s">
        <v>200</v>
      </c>
    </row>
    <row r="90" spans="1:8" ht="52.8" x14ac:dyDescent="0.25">
      <c r="A90" s="192" t="s">
        <v>258</v>
      </c>
      <c r="B90" s="98" t="s">
        <v>25</v>
      </c>
      <c r="C90" s="98" t="s">
        <v>85</v>
      </c>
      <c r="D90" s="100" t="s">
        <v>220</v>
      </c>
      <c r="E90" s="116" t="s">
        <v>68</v>
      </c>
      <c r="F90" s="166">
        <f>F89</f>
        <v>6.6400000000000006</v>
      </c>
      <c r="G90" s="101" t="s">
        <v>199</v>
      </c>
      <c r="H90" s="193" t="s">
        <v>200</v>
      </c>
    </row>
    <row r="91" spans="1:8" ht="26.4" x14ac:dyDescent="0.25">
      <c r="A91" s="192" t="s">
        <v>259</v>
      </c>
      <c r="B91" s="98" t="s">
        <v>25</v>
      </c>
      <c r="C91" s="109" t="s">
        <v>201</v>
      </c>
      <c r="D91" s="100" t="s">
        <v>221</v>
      </c>
      <c r="E91" s="116" t="s">
        <v>68</v>
      </c>
      <c r="F91" s="166">
        <f>(6.15*0.7)+(6.15*0.25*2)</f>
        <v>7.38</v>
      </c>
      <c r="G91" s="101" t="s">
        <v>205</v>
      </c>
      <c r="H91" s="193" t="s">
        <v>202</v>
      </c>
    </row>
    <row r="92" spans="1:8" ht="52.8" x14ac:dyDescent="0.25">
      <c r="A92" s="192" t="s">
        <v>260</v>
      </c>
      <c r="B92" s="98" t="s">
        <v>25</v>
      </c>
      <c r="C92" s="98" t="s">
        <v>81</v>
      </c>
      <c r="D92" s="100" t="s">
        <v>222</v>
      </c>
      <c r="E92" s="98" t="s">
        <v>67</v>
      </c>
      <c r="F92" s="166">
        <f>(6.15*0.7*0.03)+(6.15*0.22*0.03*2)</f>
        <v>0.21032999999999999</v>
      </c>
      <c r="G92" s="101" t="s">
        <v>203</v>
      </c>
      <c r="H92" s="193" t="s">
        <v>204</v>
      </c>
    </row>
    <row r="93" spans="1:8" ht="39.6" x14ac:dyDescent="0.25">
      <c r="A93" s="192" t="s">
        <v>261</v>
      </c>
      <c r="B93" s="98" t="s">
        <v>25</v>
      </c>
      <c r="C93" s="98" t="s">
        <v>349</v>
      </c>
      <c r="D93" s="100" t="s">
        <v>350</v>
      </c>
      <c r="E93" s="116" t="s">
        <v>60</v>
      </c>
      <c r="F93" s="115">
        <f>(3.6+0.5+0.7+1)*2</f>
        <v>11.6</v>
      </c>
      <c r="G93" s="101" t="s">
        <v>351</v>
      </c>
      <c r="H93" s="197" t="s">
        <v>352</v>
      </c>
    </row>
    <row r="94" spans="1:8" s="76" customFormat="1" x14ac:dyDescent="0.25">
      <c r="A94" s="190">
        <v>10</v>
      </c>
      <c r="B94" s="27"/>
      <c r="C94" s="27"/>
      <c r="D94" s="97" t="s">
        <v>42</v>
      </c>
      <c r="E94" s="77"/>
      <c r="F94" s="5"/>
      <c r="G94" s="80"/>
      <c r="H94" s="191"/>
    </row>
    <row r="95" spans="1:8" x14ac:dyDescent="0.25">
      <c r="A95" s="192" t="s">
        <v>215</v>
      </c>
      <c r="B95" s="98" t="s">
        <v>25</v>
      </c>
      <c r="C95" s="98" t="s">
        <v>92</v>
      </c>
      <c r="D95" s="100" t="s">
        <v>42</v>
      </c>
      <c r="E95" s="116" t="s">
        <v>68</v>
      </c>
      <c r="F95" s="115">
        <v>27.35</v>
      </c>
      <c r="G95" s="117" t="s">
        <v>98</v>
      </c>
      <c r="H95" s="189">
        <v>27.35</v>
      </c>
    </row>
    <row r="96" spans="1:8" s="68" customFormat="1" ht="15.6" x14ac:dyDescent="0.25">
      <c r="A96" s="198"/>
      <c r="B96" s="199"/>
      <c r="C96" s="199"/>
      <c r="D96" s="200"/>
      <c r="E96" s="199"/>
      <c r="F96" s="67"/>
      <c r="G96" s="201"/>
      <c r="H96" s="202"/>
    </row>
    <row r="97" spans="1:8" s="68" customFormat="1" ht="15.6" x14ac:dyDescent="0.25">
      <c r="A97" s="198"/>
      <c r="B97" s="199"/>
      <c r="C97" s="199"/>
      <c r="D97" s="200"/>
      <c r="E97" s="199"/>
      <c r="F97" s="67"/>
      <c r="G97" s="201"/>
      <c r="H97" s="202"/>
    </row>
    <row r="98" spans="1:8" s="68" customFormat="1" ht="15.6" x14ac:dyDescent="0.25">
      <c r="A98" s="198"/>
      <c r="B98" s="199"/>
      <c r="C98" s="199"/>
      <c r="D98" s="200"/>
      <c r="E98" s="199"/>
      <c r="F98" s="67"/>
      <c r="G98" s="201"/>
      <c r="H98" s="202"/>
    </row>
    <row r="99" spans="1:8" s="68" customFormat="1" ht="15.6" x14ac:dyDescent="0.25">
      <c r="A99" s="198"/>
      <c r="B99" s="199"/>
      <c r="C99" s="199"/>
      <c r="D99" s="200"/>
      <c r="E99" s="199"/>
      <c r="F99" s="67"/>
      <c r="G99" s="201"/>
      <c r="H99" s="202"/>
    </row>
    <row r="100" spans="1:8" s="68" customFormat="1" ht="15.6" x14ac:dyDescent="0.25">
      <c r="A100" s="198"/>
      <c r="B100" s="199"/>
      <c r="C100" s="67"/>
      <c r="D100" s="67" t="s">
        <v>101</v>
      </c>
      <c r="E100" s="200"/>
      <c r="F100" s="199"/>
      <c r="G100" s="67"/>
      <c r="H100" s="202"/>
    </row>
    <row r="101" spans="1:8" s="68" customFormat="1" ht="15.6" x14ac:dyDescent="0.25">
      <c r="A101" s="198"/>
      <c r="B101" s="199"/>
      <c r="C101" s="203"/>
      <c r="D101" s="203" t="s">
        <v>44</v>
      </c>
      <c r="E101" s="201"/>
      <c r="F101" s="199"/>
      <c r="G101" s="203"/>
      <c r="H101" s="202"/>
    </row>
    <row r="102" spans="1:8" s="68" customFormat="1" ht="15.6" x14ac:dyDescent="0.25">
      <c r="A102" s="198"/>
      <c r="B102" s="199"/>
      <c r="C102" s="199"/>
      <c r="D102" s="199" t="s">
        <v>45</v>
      </c>
      <c r="E102" s="201"/>
      <c r="F102" s="199"/>
      <c r="G102" s="67"/>
      <c r="H102" s="202"/>
    </row>
    <row r="103" spans="1:8" s="68" customFormat="1" ht="15.6" x14ac:dyDescent="0.25">
      <c r="A103" s="198"/>
      <c r="B103" s="199"/>
      <c r="C103" s="203"/>
      <c r="D103" s="204"/>
      <c r="E103" s="203"/>
      <c r="F103" s="67"/>
      <c r="G103" s="204"/>
      <c r="H103" s="202"/>
    </row>
    <row r="104" spans="1:8" s="68" customFormat="1" ht="15.6" x14ac:dyDescent="0.25">
      <c r="A104" s="198"/>
      <c r="B104" s="199"/>
      <c r="C104" s="199"/>
      <c r="D104" s="205"/>
      <c r="E104" s="199"/>
      <c r="F104" s="67"/>
      <c r="G104" s="205"/>
      <c r="H104" s="202"/>
    </row>
    <row r="105" spans="1:8" s="68" customFormat="1" ht="15.6" x14ac:dyDescent="0.25">
      <c r="A105" s="198"/>
      <c r="B105" s="199"/>
      <c r="C105" s="199"/>
      <c r="D105" s="200"/>
      <c r="E105" s="199"/>
      <c r="F105" s="67"/>
      <c r="G105" s="201"/>
      <c r="H105" s="202"/>
    </row>
    <row r="106" spans="1:8" s="68" customFormat="1" ht="16.2" thickBot="1" x14ac:dyDescent="0.3">
      <c r="A106" s="206"/>
      <c r="B106" s="207"/>
      <c r="C106" s="207"/>
      <c r="D106" s="208"/>
      <c r="E106" s="207"/>
      <c r="F106" s="209"/>
      <c r="G106" s="210"/>
      <c r="H106" s="211"/>
    </row>
  </sheetData>
  <autoFilter ref="A15:H15" xr:uid="{00000000-0001-0000-0100-000000000000}"/>
  <mergeCells count="6">
    <mergeCell ref="A1:H8"/>
    <mergeCell ref="A9:H10"/>
    <mergeCell ref="G13:H13"/>
    <mergeCell ref="G14:H14"/>
    <mergeCell ref="G11:H11"/>
    <mergeCell ref="G12:H12"/>
  </mergeCells>
  <phoneticPr fontId="22" type="noConversion"/>
  <conditionalFormatting sqref="C34:E35 E36 C43:D45">
    <cfRule type="expression" dxfId="0" priority="4">
      <formula>LEN($B34)=1</formula>
    </cfRule>
  </conditionalFormatting>
  <printOptions horizontalCentered="1"/>
  <pageMargins left="0.39370078740157483" right="0.19685039370078741" top="0.6692913385826772" bottom="0.6692913385826772" header="0.31496062992125984" footer="0.31496062992125984"/>
  <pageSetup paperSize="9" scale="65" fitToHeight="24" orientation="landscape" r:id="rId1"/>
  <headerFooter alignWithMargins="0">
    <oddFooter>&amp;CPágina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H43"/>
  <sheetViews>
    <sheetView showGridLines="0" view="pageBreakPreview" zoomScale="75" zoomScaleNormal="100" zoomScaleSheetLayoutView="75" workbookViewId="0">
      <selection activeCell="J12" sqref="J12"/>
    </sheetView>
  </sheetViews>
  <sheetFormatPr defaultColWidth="9.21875" defaultRowHeight="13.2" x14ac:dyDescent="0.25"/>
  <cols>
    <col min="1" max="1" width="6.21875" style="10" customWidth="1"/>
    <col min="2" max="2" width="29.21875" style="25" customWidth="1"/>
    <col min="3" max="3" width="20" style="10" customWidth="1"/>
    <col min="4" max="5" width="12" style="10" customWidth="1"/>
    <col min="6" max="6" width="16.33203125" style="10" bestFit="1" customWidth="1"/>
    <col min="7" max="7" width="9.21875" style="10"/>
    <col min="8" max="8" width="11" style="10" bestFit="1" customWidth="1"/>
    <col min="9" max="16384" width="9.21875" style="10"/>
  </cols>
  <sheetData>
    <row r="1" spans="1:8" ht="70.05" customHeight="1" x14ac:dyDescent="0.25">
      <c r="A1" s="216"/>
      <c r="B1" s="290" t="s">
        <v>299</v>
      </c>
      <c r="C1" s="290"/>
      <c r="D1" s="290"/>
      <c r="E1" s="290"/>
      <c r="F1" s="291"/>
    </row>
    <row r="2" spans="1:8" ht="3" customHeight="1" x14ac:dyDescent="0.25">
      <c r="A2" s="217"/>
      <c r="B2" s="28"/>
      <c r="C2" s="26"/>
      <c r="D2" s="26"/>
      <c r="E2" s="26"/>
      <c r="F2" s="218"/>
    </row>
    <row r="3" spans="1:8" ht="15" customHeight="1" x14ac:dyDescent="0.25">
      <c r="A3" s="280" t="s">
        <v>21</v>
      </c>
      <c r="B3" s="281"/>
      <c r="C3" s="281"/>
      <c r="D3" s="281"/>
      <c r="E3" s="281"/>
      <c r="F3" s="282"/>
      <c r="G3" s="13"/>
    </row>
    <row r="4" spans="1:8" ht="3" customHeight="1" x14ac:dyDescent="0.25">
      <c r="A4" s="220"/>
      <c r="B4" s="24"/>
      <c r="C4" s="1"/>
      <c r="D4" s="138"/>
      <c r="E4" s="138"/>
      <c r="F4" s="221"/>
      <c r="G4" s="13"/>
    </row>
    <row r="5" spans="1:8" ht="15" customHeight="1" x14ac:dyDescent="0.25">
      <c r="A5" s="222" t="str">
        <f>'PLAN ORÇ'!A6</f>
        <v>PREFEITURA MUNICIPAL DE DONA EUZÉBIA</v>
      </c>
      <c r="B5" s="12"/>
      <c r="C5" s="7"/>
      <c r="D5" s="294" t="s">
        <v>9</v>
      </c>
      <c r="E5" s="295"/>
      <c r="F5" s="223">
        <f>C31</f>
        <v>76584.600000000006</v>
      </c>
    </row>
    <row r="6" spans="1:8" ht="15" customHeight="1" x14ac:dyDescent="0.25">
      <c r="A6" s="220" t="str">
        <f>'MM CALC'!A12</f>
        <v>OBRA: CONSTRUÇÃO DA AMPLIAÇÃO DO ALMOXARIFADO DA FARMACIA DE MINAS</v>
      </c>
      <c r="B6" s="24"/>
      <c r="C6" s="18"/>
      <c r="D6" s="168"/>
      <c r="E6" s="168"/>
      <c r="F6" s="224"/>
    </row>
    <row r="7" spans="1:8" ht="15" customHeight="1" x14ac:dyDescent="0.25">
      <c r="A7" s="220" t="str">
        <f>'MM CALC'!A13</f>
        <v>LOCAL: RUA NILO LACERDA WERNECK, Nº 01 - BELA VISTA - DONA EUZÉBIA/MG</v>
      </c>
      <c r="B7" s="24"/>
      <c r="C7" s="1"/>
      <c r="D7" s="1"/>
      <c r="E7" s="1"/>
      <c r="F7" s="219" t="s">
        <v>296</v>
      </c>
    </row>
    <row r="8" spans="1:8" ht="15" customHeight="1" x14ac:dyDescent="0.25">
      <c r="A8" s="288" t="s">
        <v>0</v>
      </c>
      <c r="B8" s="284" t="s">
        <v>1</v>
      </c>
      <c r="C8" s="286" t="s">
        <v>18</v>
      </c>
      <c r="D8" s="286" t="s">
        <v>15</v>
      </c>
      <c r="E8" s="286" t="s">
        <v>16</v>
      </c>
      <c r="F8" s="292" t="s">
        <v>7</v>
      </c>
    </row>
    <row r="9" spans="1:8" ht="15" customHeight="1" x14ac:dyDescent="0.25">
      <c r="A9" s="289"/>
      <c r="B9" s="285"/>
      <c r="C9" s="287"/>
      <c r="D9" s="287"/>
      <c r="E9" s="287"/>
      <c r="F9" s="293"/>
    </row>
    <row r="10" spans="1:8" ht="15" customHeight="1" x14ac:dyDescent="0.25">
      <c r="A10" s="283">
        <f>'PLAN ORÇ'!A13</f>
        <v>1</v>
      </c>
      <c r="B10" s="284" t="str">
        <f>'PLAN ORÇ'!D13</f>
        <v>INSTALAÇÕES INICIAIS DA OBRA</v>
      </c>
      <c r="C10" s="94">
        <f>C11/$C$31</f>
        <v>2.0600094535977206E-2</v>
      </c>
      <c r="D10" s="94">
        <v>1</v>
      </c>
      <c r="E10" s="94"/>
      <c r="F10" s="225">
        <f t="shared" ref="F10:F15" si="0">D10</f>
        <v>1</v>
      </c>
    </row>
    <row r="11" spans="1:8" ht="15" customHeight="1" x14ac:dyDescent="0.25">
      <c r="A11" s="283"/>
      <c r="B11" s="285"/>
      <c r="C11" s="95">
        <f>'PLAN ORÇ'!I13</f>
        <v>1577.65</v>
      </c>
      <c r="D11" s="95">
        <f>C11</f>
        <v>1577.65</v>
      </c>
      <c r="E11" s="95"/>
      <c r="F11" s="226">
        <f t="shared" si="0"/>
        <v>1577.65</v>
      </c>
      <c r="H11" s="17"/>
    </row>
    <row r="12" spans="1:8" ht="15" customHeight="1" x14ac:dyDescent="0.25">
      <c r="A12" s="283">
        <f>'PLAN ORÇ'!A15</f>
        <v>2</v>
      </c>
      <c r="B12" s="284" t="str">
        <f>'PLAN ORÇ'!D15</f>
        <v>ESTRUTURAS DE CONCRETO ARMADO</v>
      </c>
      <c r="C12" s="94">
        <f>C13/$C$31</f>
        <v>0.34812808319165994</v>
      </c>
      <c r="D12" s="94">
        <v>1</v>
      </c>
      <c r="E12" s="94"/>
      <c r="F12" s="225">
        <f t="shared" si="0"/>
        <v>1</v>
      </c>
    </row>
    <row r="13" spans="1:8" ht="15" customHeight="1" x14ac:dyDescent="0.25">
      <c r="A13" s="283"/>
      <c r="B13" s="285"/>
      <c r="C13" s="95">
        <f>'PLAN ORÇ'!I15</f>
        <v>26661.25</v>
      </c>
      <c r="D13" s="95">
        <f>D12*$C$13</f>
        <v>26661.25</v>
      </c>
      <c r="E13" s="95"/>
      <c r="F13" s="226">
        <f t="shared" si="0"/>
        <v>26661.25</v>
      </c>
      <c r="H13" s="17"/>
    </row>
    <row r="14" spans="1:8" ht="15" customHeight="1" x14ac:dyDescent="0.25">
      <c r="A14" s="283">
        <v>3</v>
      </c>
      <c r="B14" s="284" t="str">
        <f>'PLAN ORÇ'!D28</f>
        <v>ALVENARIAS</v>
      </c>
      <c r="C14" s="94">
        <f>C15/$C$31</f>
        <v>0.10121669369559937</v>
      </c>
      <c r="D14" s="94">
        <f>D15/C15</f>
        <v>1</v>
      </c>
      <c r="E14" s="94"/>
      <c r="F14" s="225">
        <f t="shared" si="0"/>
        <v>1</v>
      </c>
    </row>
    <row r="15" spans="1:8" ht="15" customHeight="1" x14ac:dyDescent="0.25">
      <c r="A15" s="283"/>
      <c r="B15" s="285"/>
      <c r="C15" s="95">
        <f>'PLAN ORÇ'!I28</f>
        <v>7751.6399999999994</v>
      </c>
      <c r="D15" s="95">
        <f>C15</f>
        <v>7751.6399999999994</v>
      </c>
      <c r="E15" s="95"/>
      <c r="F15" s="226">
        <f t="shared" si="0"/>
        <v>7751.6399999999994</v>
      </c>
      <c r="H15" s="17"/>
    </row>
    <row r="16" spans="1:8" ht="15" customHeight="1" x14ac:dyDescent="0.25">
      <c r="A16" s="283">
        <v>4</v>
      </c>
      <c r="B16" s="284" t="str">
        <f>'PLAN ORÇ'!D34</f>
        <v>JANELAS</v>
      </c>
      <c r="C16" s="94">
        <f>C17/$C$31</f>
        <v>9.7754639966781826E-3</v>
      </c>
      <c r="D16" s="94"/>
      <c r="E16" s="94">
        <v>1</v>
      </c>
      <c r="F16" s="225">
        <f>E16</f>
        <v>1</v>
      </c>
    </row>
    <row r="17" spans="1:8" ht="15" customHeight="1" x14ac:dyDescent="0.25">
      <c r="A17" s="283"/>
      <c r="B17" s="285"/>
      <c r="C17" s="95">
        <f>'PLAN ORÇ'!I34</f>
        <v>748.65</v>
      </c>
      <c r="D17" s="95"/>
      <c r="E17" s="95">
        <f>C17</f>
        <v>748.65</v>
      </c>
      <c r="F17" s="226">
        <f>E17</f>
        <v>748.65</v>
      </c>
      <c r="H17" s="17"/>
    </row>
    <row r="18" spans="1:8" ht="15" customHeight="1" x14ac:dyDescent="0.25">
      <c r="A18" s="283">
        <v>5</v>
      </c>
      <c r="B18" s="284" t="str">
        <f>'PLAN ORÇ'!D36</f>
        <v>SERRALHERIA</v>
      </c>
      <c r="C18" s="94">
        <f>C19/$C$31</f>
        <v>2.5167070142038998E-2</v>
      </c>
      <c r="D18" s="94"/>
      <c r="E18" s="94">
        <v>1</v>
      </c>
      <c r="F18" s="225">
        <f>E18</f>
        <v>1</v>
      </c>
    </row>
    <row r="19" spans="1:8" ht="15" customHeight="1" x14ac:dyDescent="0.25">
      <c r="A19" s="283"/>
      <c r="B19" s="285"/>
      <c r="C19" s="95">
        <f>'PLAN ORÇ'!I36</f>
        <v>1927.41</v>
      </c>
      <c r="D19" s="95"/>
      <c r="E19" s="95">
        <f>C19</f>
        <v>1927.41</v>
      </c>
      <c r="F19" s="226">
        <f>E19</f>
        <v>1927.41</v>
      </c>
      <c r="H19" s="17"/>
    </row>
    <row r="20" spans="1:8" ht="15" customHeight="1" x14ac:dyDescent="0.25">
      <c r="A20" s="283">
        <v>6</v>
      </c>
      <c r="B20" s="284" t="str">
        <f>'PLAN ORÇ'!D38</f>
        <v>PISOS</v>
      </c>
      <c r="C20" s="94">
        <f>C21/$C$31</f>
        <v>6.2059212948817381E-2</v>
      </c>
      <c r="D20" s="94">
        <f>D21/C21</f>
        <v>1</v>
      </c>
      <c r="E20" s="94"/>
      <c r="F20" s="225">
        <f>D20</f>
        <v>1</v>
      </c>
    </row>
    <row r="21" spans="1:8" ht="15" customHeight="1" x14ac:dyDescent="0.25">
      <c r="A21" s="283"/>
      <c r="B21" s="285"/>
      <c r="C21" s="95">
        <f>'PLAN ORÇ'!I38</f>
        <v>4752.78</v>
      </c>
      <c r="D21" s="95">
        <f>C21</f>
        <v>4752.78</v>
      </c>
      <c r="E21" s="95"/>
      <c r="F21" s="226">
        <f>D21</f>
        <v>4752.78</v>
      </c>
      <c r="H21" s="17"/>
    </row>
    <row r="22" spans="1:8" ht="15" customHeight="1" x14ac:dyDescent="0.25">
      <c r="A22" s="283">
        <v>7</v>
      </c>
      <c r="B22" s="284" t="str">
        <f>'PLAN ORÇ'!D46</f>
        <v>REVESTIMENTOS</v>
      </c>
      <c r="C22" s="94">
        <f>C23/$C$31</f>
        <v>0.29532987049615722</v>
      </c>
      <c r="D22" s="94"/>
      <c r="E22" s="94">
        <v>1</v>
      </c>
      <c r="F22" s="225">
        <f>E22</f>
        <v>1</v>
      </c>
    </row>
    <row r="23" spans="1:8" ht="15" customHeight="1" x14ac:dyDescent="0.25">
      <c r="A23" s="283"/>
      <c r="B23" s="285"/>
      <c r="C23" s="95">
        <f>'PLAN ORÇ'!I46</f>
        <v>22617.720000000005</v>
      </c>
      <c r="D23" s="95"/>
      <c r="E23" s="95">
        <f>C23</f>
        <v>22617.720000000005</v>
      </c>
      <c r="F23" s="226">
        <f>E23</f>
        <v>22617.720000000005</v>
      </c>
      <c r="H23" s="17"/>
    </row>
    <row r="24" spans="1:8" ht="15" customHeight="1" x14ac:dyDescent="0.25">
      <c r="A24" s="283">
        <v>8</v>
      </c>
      <c r="B24" s="284" t="str">
        <f>'PLAN ORÇ'!D63</f>
        <v>INSTALAÇÕES ELÉTRICAS</v>
      </c>
      <c r="C24" s="94">
        <f>C25/$C$31</f>
        <v>4.8138529155992191E-2</v>
      </c>
      <c r="D24" s="94">
        <v>0.15</v>
      </c>
      <c r="E24" s="94">
        <f>E25/C25</f>
        <v>0.85</v>
      </c>
      <c r="F24" s="225">
        <f>D24+E24</f>
        <v>1</v>
      </c>
    </row>
    <row r="25" spans="1:8" ht="15" customHeight="1" x14ac:dyDescent="0.25">
      <c r="A25" s="283"/>
      <c r="B25" s="285"/>
      <c r="C25" s="95">
        <f>'PLAN ORÇ'!I63</f>
        <v>3686.67</v>
      </c>
      <c r="D25" s="95">
        <f>C25*0.15</f>
        <v>553.00049999999999</v>
      </c>
      <c r="E25" s="95">
        <f>C25-D25</f>
        <v>3133.6695</v>
      </c>
      <c r="F25" s="226">
        <f>E25+D25</f>
        <v>3686.67</v>
      </c>
      <c r="H25" s="17"/>
    </row>
    <row r="26" spans="1:8" ht="15" customHeight="1" x14ac:dyDescent="0.25">
      <c r="A26" s="283">
        <v>9</v>
      </c>
      <c r="B26" s="284" t="str">
        <f>'PLAN ORÇ'!D80</f>
        <v>COBERTURA</v>
      </c>
      <c r="C26" s="94">
        <f>C27/$C$31</f>
        <v>8.6888747868370406E-2</v>
      </c>
      <c r="D26" s="94"/>
      <c r="E26" s="94">
        <v>1</v>
      </c>
      <c r="F26" s="225">
        <f>E26</f>
        <v>1</v>
      </c>
    </row>
    <row r="27" spans="1:8" ht="15" customHeight="1" x14ac:dyDescent="0.25">
      <c r="A27" s="283"/>
      <c r="B27" s="285"/>
      <c r="C27" s="95">
        <f>'PLAN ORÇ'!I80</f>
        <v>6654.34</v>
      </c>
      <c r="D27" s="95"/>
      <c r="E27" s="95">
        <f>C27</f>
        <v>6654.34</v>
      </c>
      <c r="F27" s="226">
        <f>E27</f>
        <v>6654.34</v>
      </c>
      <c r="H27" s="17"/>
    </row>
    <row r="28" spans="1:8" ht="15" customHeight="1" x14ac:dyDescent="0.25">
      <c r="A28" s="283">
        <v>10</v>
      </c>
      <c r="B28" s="284" t="str">
        <f>'PLAN ORÇ'!D91</f>
        <v>LIMPEZA FINAL PARA ENTREGA DA OBRA</v>
      </c>
      <c r="C28" s="94">
        <f>C29/$C$31</f>
        <v>2.6962339687091139E-3</v>
      </c>
      <c r="D28" s="94"/>
      <c r="E28" s="94">
        <v>1</v>
      </c>
      <c r="F28" s="225">
        <f>E28</f>
        <v>1</v>
      </c>
    </row>
    <row r="29" spans="1:8" ht="15" customHeight="1" x14ac:dyDescent="0.25">
      <c r="A29" s="283"/>
      <c r="B29" s="285"/>
      <c r="C29" s="95">
        <f>'PLAN ORÇ'!I91</f>
        <v>206.49</v>
      </c>
      <c r="D29" s="95"/>
      <c r="E29" s="95">
        <f>C29</f>
        <v>206.49</v>
      </c>
      <c r="F29" s="226">
        <f>E29</f>
        <v>206.49</v>
      </c>
      <c r="H29" s="17"/>
    </row>
    <row r="30" spans="1:8" ht="15" customHeight="1" x14ac:dyDescent="0.25">
      <c r="A30" s="276" t="s">
        <v>7</v>
      </c>
      <c r="B30" s="277"/>
      <c r="C30" s="96">
        <f>C10+C12+C14+C16+C18+C20+C22+C24+C26+C28</f>
        <v>0.99999999999999989</v>
      </c>
      <c r="D30" s="96">
        <f t="shared" ref="D30:E30" si="1">D31/$C$31</f>
        <v>0.53922486374545275</v>
      </c>
      <c r="E30" s="96">
        <f t="shared" si="1"/>
        <v>0.4607751362545473</v>
      </c>
      <c r="F30" s="227">
        <f>D30+E30</f>
        <v>1</v>
      </c>
    </row>
    <row r="31" spans="1:8" ht="15" customHeight="1" thickBot="1" x14ac:dyDescent="0.3">
      <c r="A31" s="278"/>
      <c r="B31" s="279"/>
      <c r="C31" s="228">
        <f>C29+C27+C25+C23+C21+C19+C17+C15+C13+C11</f>
        <v>76584.600000000006</v>
      </c>
      <c r="D31" s="229">
        <f>D15+D13+D11+D21+D25+D27</f>
        <v>41296.320500000002</v>
      </c>
      <c r="E31" s="229">
        <f>E17+E19+E23+E29+E25+E27</f>
        <v>35288.279500000004</v>
      </c>
      <c r="F31" s="230">
        <f>D31+E31</f>
        <v>76584.600000000006</v>
      </c>
    </row>
    <row r="32" spans="1:8" s="68" customFormat="1" ht="15.6" x14ac:dyDescent="0.25">
      <c r="A32" s="69"/>
      <c r="B32" s="89"/>
      <c r="C32" s="90"/>
      <c r="D32" s="90"/>
      <c r="E32" s="90"/>
      <c r="F32" s="90"/>
    </row>
    <row r="33" spans="1:8" s="68" customFormat="1" ht="15.6" x14ac:dyDescent="0.25">
      <c r="A33" s="69"/>
      <c r="B33" s="89"/>
      <c r="C33" s="90"/>
      <c r="D33" s="90"/>
      <c r="E33" s="90"/>
      <c r="F33" s="90"/>
    </row>
    <row r="34" spans="1:8" s="68" customFormat="1" ht="15.6" x14ac:dyDescent="0.25">
      <c r="A34" s="69"/>
      <c r="B34" s="89"/>
      <c r="C34" s="90"/>
      <c r="D34" s="90"/>
      <c r="E34" s="90"/>
      <c r="F34" s="90"/>
    </row>
    <row r="35" spans="1:8" s="68" customFormat="1" ht="15.6" x14ac:dyDescent="0.25">
      <c r="A35" s="71"/>
      <c r="C35" s="67" t="str">
        <f>'MM CALC'!D100</f>
        <v>______________________________________</v>
      </c>
      <c r="F35" s="67"/>
      <c r="H35" s="70"/>
    </row>
    <row r="36" spans="1:8" s="73" customFormat="1" ht="15.6" x14ac:dyDescent="0.25">
      <c r="A36" s="72"/>
      <c r="C36" s="66" t="str">
        <f>'MM CALC'!D101</f>
        <v>Suane Evelyn dos Reis Soares</v>
      </c>
      <c r="F36" s="66"/>
    </row>
    <row r="37" spans="1:8" s="68" customFormat="1" ht="15.6" x14ac:dyDescent="0.25">
      <c r="A37" s="71"/>
      <c r="C37" s="67" t="str">
        <f>'MM CALC'!D102</f>
        <v>Engenheira Civil - CREA MG nº 200.214/D</v>
      </c>
      <c r="F37" s="67"/>
    </row>
    <row r="38" spans="1:8" s="68" customFormat="1" ht="15.6" x14ac:dyDescent="0.25">
      <c r="A38" s="71"/>
      <c r="C38" s="67"/>
      <c r="F38" s="67"/>
    </row>
    <row r="39" spans="1:8" s="68" customFormat="1" ht="15.6" x14ac:dyDescent="0.25">
      <c r="A39" s="71"/>
      <c r="C39" s="67"/>
      <c r="F39" s="67"/>
    </row>
    <row r="40" spans="1:8" s="68" customFormat="1" ht="15.6" x14ac:dyDescent="0.25">
      <c r="A40" s="71"/>
      <c r="C40" s="67"/>
      <c r="F40" s="67"/>
    </row>
    <row r="41" spans="1:8" s="68" customFormat="1" ht="15.6" x14ac:dyDescent="0.25">
      <c r="A41" s="71"/>
      <c r="B41" s="89"/>
    </row>
    <row r="42" spans="1:8" s="68" customFormat="1" ht="15.6" x14ac:dyDescent="0.25">
      <c r="A42" s="91"/>
      <c r="B42" s="92"/>
      <c r="C42" s="93"/>
      <c r="D42" s="93"/>
      <c r="E42" s="93"/>
      <c r="F42" s="93"/>
      <c r="H42" s="70"/>
    </row>
    <row r="43" spans="1:8" x14ac:dyDescent="0.25">
      <c r="H43" s="17"/>
    </row>
  </sheetData>
  <mergeCells count="30">
    <mergeCell ref="B1:F1"/>
    <mergeCell ref="F8:F9"/>
    <mergeCell ref="D5:E5"/>
    <mergeCell ref="B26:B27"/>
    <mergeCell ref="A28:A29"/>
    <mergeCell ref="B28:B29"/>
    <mergeCell ref="A24:A25"/>
    <mergeCell ref="B24:B25"/>
    <mergeCell ref="A26:A27"/>
    <mergeCell ref="A22:A23"/>
    <mergeCell ref="B22:B23"/>
    <mergeCell ref="A20:A21"/>
    <mergeCell ref="B20:B21"/>
    <mergeCell ref="A16:A17"/>
    <mergeCell ref="B16:B17"/>
    <mergeCell ref="B18:B19"/>
    <mergeCell ref="A30:B31"/>
    <mergeCell ref="A3:F3"/>
    <mergeCell ref="A10:A11"/>
    <mergeCell ref="B10:B11"/>
    <mergeCell ref="A12:A13"/>
    <mergeCell ref="B12:B13"/>
    <mergeCell ref="C8:C9"/>
    <mergeCell ref="B8:B9"/>
    <mergeCell ref="A8:A9"/>
    <mergeCell ref="D8:D9"/>
    <mergeCell ref="E8:E9"/>
    <mergeCell ref="A18:A19"/>
    <mergeCell ref="B14:B15"/>
    <mergeCell ref="A14:A15"/>
  </mergeCells>
  <phoneticPr fontId="22" type="noConversion"/>
  <printOptions horizontalCentered="1"/>
  <pageMargins left="0.31496062992125984" right="0" top="0.78740157480314965" bottom="0.59055118110236227" header="0.31496062992125984" footer="0.31496062992125984"/>
  <pageSetup paperSize="9" orientation="portrait" horizontalDpi="4294967292" verticalDpi="1200" r:id="rId1"/>
  <headerFooter>
    <oddFooter>&amp;CPágina &amp;P de &amp;N</oddFooter>
  </headerFooter>
  <ignoredErrors>
    <ignoredError sqref="E11 C12 C22 C20 C18 C16 C14 C24 C26 C2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 ORÇ</vt:lpstr>
      <vt:lpstr>MM CALC</vt:lpstr>
      <vt:lpstr>CRON</vt:lpstr>
      <vt:lpstr>CRON!Area_de_impressao</vt:lpstr>
      <vt:lpstr>'MM CALC'!Area_de_impressao</vt:lpstr>
      <vt:lpstr>'PLAN ORÇ'!Area_de_impressao</vt:lpstr>
      <vt:lpstr>Fonte</vt:lpstr>
      <vt:lpstr>'MM CALC'!Titulos_de_impressao</vt:lpstr>
      <vt:lpstr>'PLAN ORÇ'!Titulos_de_impressao</vt:lpstr>
    </vt:vector>
  </TitlesOfParts>
  <Company>EMPRESARIAL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Suane Evelyn</cp:lastModifiedBy>
  <cp:lastPrinted>2022-10-04T12:24:49Z</cp:lastPrinted>
  <dcterms:created xsi:type="dcterms:W3CDTF">2010-03-02T12:32:19Z</dcterms:created>
  <dcterms:modified xsi:type="dcterms:W3CDTF">2022-10-04T12:27:58Z</dcterms:modified>
</cp:coreProperties>
</file>